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firstSheet="2" activeTab="4"/>
  </bookViews>
  <sheets>
    <sheet name="附表1一般公共预算收支平衡调整表" sheetId="7" r:id="rId1"/>
    <sheet name="附表2一般公共预算收入调整表" sheetId="1" r:id="rId2"/>
    <sheet name="附表3一般公共预算支出调整表" sheetId="2" r:id="rId3"/>
    <sheet name="附表4政府性基金收支平衡调整表" sheetId="3" r:id="rId4"/>
    <sheet name="附表5国有资本经营预算平衡调整表" sheetId="4" r:id="rId5"/>
  </sheets>
  <definedNames>
    <definedName name="_xlnm._FilterDatabase" localSheetId="2" hidden="1">附表3一般公共预算支出调整表!$A$4:$F$488</definedName>
    <definedName name="_xlnm.Print_Titles" localSheetId="2">附表3一般公共预算支出调整表!$2:$4</definedName>
    <definedName name="_xlnm.Print_Titles" localSheetId="1">附表2一般公共预算收入调整表!$2:$5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<sst xmlns="http://schemas.openxmlformats.org/spreadsheetml/2006/main" count="821" uniqueCount="526">
  <si>
    <t>附件1</t>
  </si>
  <si>
    <t/>
  </si>
  <si>
    <t>开阳县2026年一般公共预算收支平衡调整表</t>
  </si>
  <si>
    <t>编制单位：开阳县财政局</t>
  </si>
  <si>
    <t>单位：万元</t>
  </si>
  <si>
    <t>收入</t>
  </si>
  <si>
    <t>支出</t>
  </si>
  <si>
    <t>备注</t>
  </si>
  <si>
    <t>项目</t>
  </si>
  <si>
    <t>2026年
预算数</t>
  </si>
  <si>
    <t>调增（减）金额</t>
  </si>
  <si>
    <t>调整
预算数</t>
  </si>
  <si>
    <t>栏次</t>
  </si>
  <si>
    <t>1</t>
  </si>
  <si>
    <t>2</t>
  </si>
  <si>
    <t>3=1+2</t>
  </si>
  <si>
    <t>4</t>
  </si>
  <si>
    <t>5</t>
  </si>
  <si>
    <t>6</t>
  </si>
  <si>
    <t>7=5+6</t>
  </si>
  <si>
    <t>8</t>
  </si>
  <si>
    <t>一、一般公共预算收入合计</t>
  </si>
  <si>
    <t>一、一般公共预算支出合计</t>
  </si>
  <si>
    <t>二、地方政府一般债务转贷收入</t>
  </si>
  <si>
    <t>二、地方政府一般债务还本支出</t>
  </si>
  <si>
    <t>三、上级补助收入</t>
  </si>
  <si>
    <t>三、补助下级支出</t>
  </si>
  <si>
    <t>四、下级上解收入</t>
  </si>
  <si>
    <t>四、上解上级支出</t>
  </si>
  <si>
    <t>五、调入资金</t>
  </si>
  <si>
    <t>五、地方政府一般债务转贷支出</t>
  </si>
  <si>
    <t>六、动用预算稳定调节基金</t>
  </si>
  <si>
    <t>六、安排预算稳定调节基金</t>
  </si>
  <si>
    <t>七、上年结转收入</t>
  </si>
  <si>
    <t>七、结转安排支出</t>
  </si>
  <si>
    <t>八、区域间转移性收入</t>
  </si>
  <si>
    <t>八、区域间转移性支出</t>
  </si>
  <si>
    <t>收入总计</t>
  </si>
  <si>
    <t>支出总计</t>
  </si>
  <si>
    <t>附件2</t>
  </si>
  <si>
    <t>开阳县2026年一般公共预算收入调整表</t>
  </si>
  <si>
    <t>序号</t>
  </si>
  <si>
    <t>科目编码</t>
  </si>
  <si>
    <t>科目名称</t>
  </si>
  <si>
    <t>2025年完成数</t>
  </si>
  <si>
    <t>2026年年初预算数</t>
  </si>
  <si>
    <t>2026调增、调减数</t>
  </si>
  <si>
    <t>2026年调整数</t>
  </si>
  <si>
    <t>2026年调整数同2025年完成数相比</t>
  </si>
  <si>
    <t>2026年1-9月累计完成数</t>
  </si>
  <si>
    <t>2026年1-9月累计完成数占调整预算数的百分比</t>
  </si>
  <si>
    <t>同比增减率（%）</t>
  </si>
  <si>
    <t>同比增减金额</t>
  </si>
  <si>
    <t>5=3+4</t>
  </si>
  <si>
    <t>6=7/2</t>
  </si>
  <si>
    <t>7=5-2</t>
  </si>
  <si>
    <t>9=8/5</t>
  </si>
  <si>
    <t>一般公共预算收入合计</t>
  </si>
  <si>
    <t>101</t>
  </si>
  <si>
    <t xml:space="preserve">  税收收入</t>
  </si>
  <si>
    <t xml:space="preserve">    增值税</t>
  </si>
  <si>
    <t>10104</t>
  </si>
  <si>
    <t xml:space="preserve">    企业所得税</t>
  </si>
  <si>
    <t>10106</t>
  </si>
  <si>
    <t xml:space="preserve">    个人所得税</t>
  </si>
  <si>
    <t>10107</t>
  </si>
  <si>
    <t xml:space="preserve">    资源税</t>
  </si>
  <si>
    <t>10109</t>
  </si>
  <si>
    <t xml:space="preserve">    城市维护建设税</t>
  </si>
  <si>
    <t xml:space="preserve">    房产税</t>
  </si>
  <si>
    <t>10111</t>
  </si>
  <si>
    <t xml:space="preserve">    印花税</t>
  </si>
  <si>
    <t>10112</t>
  </si>
  <si>
    <t xml:space="preserve">    城镇土地使用税</t>
  </si>
  <si>
    <t>10113</t>
  </si>
  <si>
    <t xml:space="preserve">    土地增值税</t>
  </si>
  <si>
    <t xml:space="preserve">    车船税</t>
  </si>
  <si>
    <t>10118</t>
  </si>
  <si>
    <t xml:space="preserve">    耕地占用税</t>
  </si>
  <si>
    <t>10119</t>
  </si>
  <si>
    <t xml:space="preserve">    契税</t>
  </si>
  <si>
    <t>10120</t>
  </si>
  <si>
    <t xml:space="preserve">    烟叶税</t>
  </si>
  <si>
    <t xml:space="preserve">    环保税</t>
  </si>
  <si>
    <t xml:space="preserve">    其他税收收入</t>
  </si>
  <si>
    <t>103</t>
  </si>
  <si>
    <t xml:space="preserve">  非税收入</t>
  </si>
  <si>
    <t>10302</t>
  </si>
  <si>
    <t xml:space="preserve">    专项收入</t>
  </si>
  <si>
    <t xml:space="preserve">      教育费附加收入</t>
  </si>
  <si>
    <t xml:space="preserve">      地方教育附加收入</t>
  </si>
  <si>
    <t xml:space="preserve">      残疾人就业保障金收入</t>
  </si>
  <si>
    <t xml:space="preserve">      森林植被恢复费</t>
  </si>
  <si>
    <t>10304</t>
  </si>
  <si>
    <t xml:space="preserve">    行政事业性收费收入</t>
  </si>
  <si>
    <t>10305</t>
  </si>
  <si>
    <t xml:space="preserve">    罚没收入</t>
  </si>
  <si>
    <t xml:space="preserve">    国有资本经营收入</t>
  </si>
  <si>
    <t>10307</t>
  </si>
  <si>
    <t xml:space="preserve">     国有资源(资产)有偿使用收入</t>
  </si>
  <si>
    <t xml:space="preserve">      矿业权出让收益</t>
  </si>
  <si>
    <t xml:space="preserve">   捐赠收入</t>
  </si>
  <si>
    <t xml:space="preserve">   国内捐赠收入</t>
  </si>
  <si>
    <t xml:space="preserve">   政府住房基金收入</t>
  </si>
  <si>
    <t>10399</t>
  </si>
  <si>
    <t xml:space="preserve">   其他收入</t>
  </si>
  <si>
    <t>分部门合计</t>
  </si>
  <si>
    <t>税务</t>
  </si>
  <si>
    <t>财政</t>
  </si>
  <si>
    <t>附件3</t>
  </si>
  <si>
    <t>开阳县2026年一般公共预算支出调整表</t>
  </si>
  <si>
    <t>调增（减）
金额</t>
  </si>
  <si>
    <t>调整预算数</t>
  </si>
  <si>
    <t>4=2+3</t>
  </si>
  <si>
    <t>一般公共预算支出合计</t>
  </si>
  <si>
    <t>一般公共服务支出</t>
  </si>
  <si>
    <t>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</si>
  <si>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</si>
  <si>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</si>
  <si>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</si>
  <si>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</si>
  <si>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</si>
  <si>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</si>
  <si>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</si>
  <si>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其他人大事务支出</t>
  </si>
  <si>
    <t>政协事务</t>
  </si>
  <si>
    <t>政协会议</t>
  </si>
  <si>
    <t>委员视察</t>
  </si>
  <si>
    <t>其他政协事务支出</t>
  </si>
  <si>
    <t>政府办公厅（室）及相关机构事务</t>
  </si>
  <si>
    <t>事业运行</t>
  </si>
  <si>
    <t>其他政府办公厅（室）及相关机构事务支出</t>
  </si>
  <si>
    <t>发展与改革事务</t>
  </si>
  <si>
    <t>战略规划与实施</t>
  </si>
  <si>
    <t>社会事业发展规划</t>
  </si>
  <si>
    <t>物价管理</t>
  </si>
  <si>
    <t>其他发展与改革事务支出</t>
  </si>
  <si>
    <t>统计信息事务</t>
  </si>
  <si>
    <t>专项统计业务</t>
  </si>
  <si>
    <t>专项普查活动</t>
  </si>
  <si>
    <t>统计抽样调查</t>
  </si>
  <si>
    <t>财政事务</t>
  </si>
  <si>
    <t>信息化建设</t>
  </si>
  <si>
    <t>其他财政事务支出</t>
  </si>
  <si>
    <t>税收事务</t>
  </si>
  <si>
    <t>纪检监察事务</t>
  </si>
  <si>
    <t>巡视工作</t>
  </si>
  <si>
    <t>其他纪检监察事务支出</t>
  </si>
  <si>
    <t>商贸事务</t>
  </si>
  <si>
    <t>招商引资</t>
  </si>
  <si>
    <t>其他商贸事务支出</t>
  </si>
  <si>
    <t>知识产权事务</t>
  </si>
  <si>
    <t>知识产权宏观管理</t>
  </si>
  <si>
    <t>民族事务</t>
  </si>
  <si>
    <t>民族工作专项</t>
  </si>
  <si>
    <t>档案事务</t>
  </si>
  <si>
    <t>档案馆</t>
  </si>
  <si>
    <t>民主党派及工商联事务</t>
  </si>
  <si>
    <t>参政议政</t>
  </si>
  <si>
    <t>群众团体事务</t>
  </si>
  <si>
    <t>其他群众团体事务支出</t>
  </si>
  <si>
    <t>党委办公厅（室）及相关机构事务</t>
  </si>
  <si>
    <t>专项业务</t>
  </si>
  <si>
    <t>其他党委办公厅（室）及相关机构事务支出</t>
  </si>
  <si>
    <t>组织事务</t>
  </si>
  <si>
    <t>其他组织事务支出</t>
  </si>
  <si>
    <t>宣传事务</t>
  </si>
  <si>
    <t>宣传管理</t>
  </si>
  <si>
    <t>其他宣传事务支出</t>
  </si>
  <si>
    <t>统战事务</t>
  </si>
  <si>
    <t>宗教事务</t>
  </si>
  <si>
    <t>其他统战事务支出</t>
  </si>
  <si>
    <t>其他共产党事务支出</t>
  </si>
  <si>
    <t>市场监督管理事务</t>
  </si>
  <si>
    <t>经营主体管理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</si>
  <si>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</si>
  <si>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</si>
  <si>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</si>
  <si>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</si>
  <si>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</si>
  <si>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</si>
  <si>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</si>
  <si>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社会工作事务</t>
  </si>
  <si>
    <t>其他社会工作事务支出</t>
  </si>
  <si>
    <t>信访事务</t>
  </si>
  <si>
    <t>信访业务</t>
  </si>
  <si>
    <t>其他信访事务支出</t>
  </si>
  <si>
    <t>其他一般公共服务支出</t>
  </si>
  <si>
    <t>国防支出</t>
  </si>
  <si>
    <t>国防动员</t>
  </si>
  <si>
    <t>兵役征集</t>
  </si>
  <si>
    <t>人民防空</t>
  </si>
  <si>
    <t>民兵</t>
  </si>
  <si>
    <t>其他国防动员支出</t>
  </si>
  <si>
    <t>公共安全支出</t>
  </si>
  <si>
    <t>武装警察部队</t>
  </si>
  <si>
    <t>其他武装警察部队支出</t>
  </si>
  <si>
    <t>公安</t>
  </si>
  <si>
    <t>其他公安支出</t>
  </si>
  <si>
    <t>检察</t>
  </si>
  <si>
    <t>法院</t>
  </si>
  <si>
    <t>司法</t>
  </si>
  <si>
    <t>基层司法业务</t>
  </si>
  <si>
    <t>普法宣传</t>
  </si>
  <si>
    <t>律师管理</t>
  </si>
  <si>
    <t>公共法律服务</t>
  </si>
  <si>
    <t>社区矫正</t>
  </si>
  <si>
    <t>法治建设</t>
  </si>
  <si>
    <t>其他司法支出</t>
  </si>
  <si>
    <t>其他公共安全支出</t>
  </si>
  <si>
    <t>教育支出</t>
  </si>
  <si>
    <t>教育管理事务</t>
  </si>
  <si>
    <t>其他教育管理事务支出</t>
  </si>
  <si>
    <t>普通教育</t>
  </si>
  <si>
    <t>学前教育</t>
  </si>
  <si>
    <t>小学教育</t>
  </si>
  <si>
    <t>初中教育</t>
  </si>
  <si>
    <t>高中教育</t>
  </si>
  <si>
    <t>其他普通教育支出</t>
  </si>
  <si>
    <t>职业教育</t>
  </si>
  <si>
    <t>中等职业教育</t>
  </si>
  <si>
    <t>特殊教育</t>
  </si>
  <si>
    <t>特殊学校教育</t>
  </si>
  <si>
    <t>进修及培训</t>
  </si>
  <si>
    <t>教师进修</t>
  </si>
  <si>
    <t>干部教育</t>
  </si>
  <si>
    <t>教育费附加安排的支出</t>
  </si>
  <si>
    <t>其他教育费附加安排的支出</t>
  </si>
  <si>
    <t>其他教育支出</t>
  </si>
  <si>
    <t>科学技术支出</t>
  </si>
  <si>
    <t>科学技术管理事务</t>
  </si>
  <si>
    <t>技术研究与开发</t>
  </si>
  <si>
    <t>科技成果转化与扩散</t>
  </si>
  <si>
    <t>科学技术普及</t>
  </si>
  <si>
    <t>机构运行</t>
  </si>
  <si>
    <t>科普活动</t>
  </si>
  <si>
    <t>其他科学技术支出</t>
  </si>
  <si>
    <t>文化旅游体育与传媒支出</t>
  </si>
  <si>
    <t>文化和旅游</t>
  </si>
  <si>
    <t>图书馆</t>
  </si>
  <si>
    <t>群众文化</t>
  </si>
  <si>
    <t>文化和旅游市场管理</t>
  </si>
  <si>
    <t>旅游宣传</t>
  </si>
  <si>
    <t>文化和旅游管理事务</t>
  </si>
  <si>
    <t>其他文化和旅游支出</t>
  </si>
  <si>
    <t>文物</t>
  </si>
  <si>
    <t>文物保护</t>
  </si>
  <si>
    <t>体育</t>
  </si>
  <si>
    <t>体育场馆</t>
  </si>
  <si>
    <t>其他体育支出</t>
  </si>
  <si>
    <t>新闻出版电影</t>
  </si>
  <si>
    <t>电影</t>
  </si>
  <si>
    <t>广播电视</t>
  </si>
  <si>
    <t>其他文化旅游体育与传媒支出</t>
  </si>
  <si>
    <t>社会保障和就业支出</t>
  </si>
  <si>
    <t>人力资源和社会保障管理事务</t>
  </si>
  <si>
    <t>劳动保障监察</t>
  </si>
  <si>
    <t>就业管理事务</t>
  </si>
  <si>
    <t>劳动人事争议调解仲裁</t>
  </si>
  <si>
    <t>其他人力资源和社会保障管理事务支出</t>
  </si>
  <si>
    <t>民政管理事务</t>
  </si>
  <si>
    <t>其他民政管理事务支出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</si>
  <si>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</si>
  <si>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</si>
  <si>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</si>
  <si>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</si>
  <si>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</si>
  <si>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</si>
  <si>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</si>
  <si>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</si>
  <si>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>就业补助</t>
  </si>
  <si>
    <t>就业创业服务补助</t>
  </si>
  <si>
    <t>职业培训补贴</t>
  </si>
  <si>
    <t>社会保险补贴</t>
  </si>
  <si>
    <t>公益性岗位补贴</t>
  </si>
  <si>
    <t>就业见习补贴</t>
  </si>
  <si>
    <t>求职和创业补贴</t>
  </si>
  <si>
    <t>其他就业补助支出</t>
  </si>
  <si>
    <t>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</si>
  <si>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</si>
  <si>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</si>
  <si>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</si>
  <si>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</si>
  <si>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</si>
  <si>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褒扬纪念</t>
  </si>
  <si>
    <t>其他优抚支出</t>
  </si>
  <si>
    <t>退役安置</t>
  </si>
  <si>
    <t>退役士兵安置</t>
  </si>
  <si>
    <t>军队移交政府的离退休人员安置</t>
  </si>
  <si>
    <t>军队移交政府离退休干部管理机构</t>
  </si>
  <si>
    <t>军队转业干部安置</t>
  </si>
  <si>
    <t>其他退役安置支出</t>
  </si>
  <si>
    <t>社会福利</t>
  </si>
  <si>
    <t>儿童福利</t>
  </si>
  <si>
    <t>老年福利</t>
  </si>
  <si>
    <t>殡葬</t>
  </si>
  <si>
    <t>养老服务</t>
  </si>
  <si>
    <t>残疾人事业</t>
  </si>
  <si>
    <t>残疾人康复</t>
  </si>
  <si>
    <t>残疾人就业</t>
  </si>
  <si>
    <t>残疾人体育</t>
  </si>
  <si>
    <t>残疾人生活和护理补贴</t>
  </si>
  <si>
    <t>其他残疾人事业支出</t>
  </si>
  <si>
    <t>红十字事业</t>
  </si>
  <si>
    <t>最低生活保障</t>
  </si>
  <si>
    <t>城市最低生活保障金支出</t>
  </si>
  <si>
    <t>临时救助</t>
  </si>
  <si>
    <t>临时救助支出</t>
  </si>
  <si>
    <t>流浪乞讨人员救助支出</t>
  </si>
  <si>
    <t>特困人员救助供养</t>
  </si>
  <si>
    <t>城市特困人员救助供养支出</t>
  </si>
  <si>
    <t>农村特困人员救助供养支出</t>
  </si>
  <si>
    <t>其他生活救助</t>
  </si>
  <si>
    <t>其他城市生活救助</t>
  </si>
  <si>
    <t>其他农村生活救助</t>
  </si>
  <si>
    <t>财政对基本养老保险基金的补助</t>
  </si>
  <si>
    <t>财政对企业职工基本养老保险基金的补助</t>
  </si>
  <si>
    <t>财政对城乡居民基本养老保险基金的补助</t>
  </si>
  <si>
    <t>退役军人管理事务</t>
  </si>
  <si>
    <t>其他退役军人事务管理支出</t>
  </si>
  <si>
    <t>其他社会保障和就业支出</t>
  </si>
  <si>
    <t>卫生健康支出</t>
  </si>
  <si>
    <t>卫生健康管理事务</t>
  </si>
  <si>
    <t>其他卫生健康管理事务支出</t>
  </si>
  <si>
    <t>公立医院</t>
  </si>
  <si>
    <t>综合医院</t>
  </si>
  <si>
    <t>中医（民族）医院</t>
  </si>
  <si>
    <t>其他公立医院支出</t>
  </si>
  <si>
    <t>基层医疗卫生机构</t>
  </si>
  <si>
    <t>乡镇卫生院</t>
  </si>
  <si>
    <t>其他基层医疗卫生机构支出</t>
  </si>
  <si>
    <t>公共卫生</t>
  </si>
  <si>
    <t>疾病预防控制机构</t>
  </si>
  <si>
    <t>妇幼保健机构</t>
  </si>
  <si>
    <t>基本公共卫生服务</t>
  </si>
  <si>
    <t>重大公共卫生服务</t>
  </si>
  <si>
    <t>突发公共卫生事件应急处置</t>
  </si>
  <si>
    <t>计划生育事务</t>
  </si>
  <si>
    <t>计划生育服务</t>
  </si>
  <si>
    <t>行政事业单位医疗</t>
  </si>
  <si>
    <t>行政单位医疗</t>
  </si>
  <si>
    <t>事业单位医疗</t>
  </si>
  <si>
    <t>公务员医疗补助</t>
  </si>
  <si>
    <t>其他行政事业单位医疗支出</t>
  </si>
  <si>
    <t>财政对基本医疗保险基金的补助</t>
  </si>
  <si>
    <t>财政对城乡居民基本医疗保险基金的补助</t>
  </si>
  <si>
    <t>医疗救助</t>
  </si>
  <si>
    <t>城乡医疗救助</t>
  </si>
  <si>
    <t>优抚对象医疗</t>
  </si>
  <si>
    <t>优抚对象医疗补助</t>
  </si>
  <si>
    <t>其他优抚对象医疗支出</t>
  </si>
  <si>
    <t>医疗保障管理事务</t>
  </si>
  <si>
    <t>其他医疗保障管理事务支出</t>
  </si>
  <si>
    <t>中医药事务</t>
  </si>
  <si>
    <t>中医（民族医）药专项</t>
  </si>
  <si>
    <t>疾病预防控制事务</t>
  </si>
  <si>
    <t>育幼服务</t>
  </si>
  <si>
    <t>育儿补贴</t>
  </si>
  <si>
    <t>其他育幼服务支出</t>
  </si>
  <si>
    <t>其他卫生健康支出</t>
  </si>
  <si>
    <t>节能环保支出</t>
  </si>
  <si>
    <t>环境保护管理事务</t>
  </si>
  <si>
    <t>应对气候变化管理事务</t>
  </si>
  <si>
    <t>其他环境保护管理事务支出</t>
  </si>
  <si>
    <t>环境监测与监察</t>
  </si>
  <si>
    <t>其他环境监测与监察支出</t>
  </si>
  <si>
    <t>污染防治</t>
  </si>
  <si>
    <t>大气</t>
  </si>
  <si>
    <t>水体</t>
  </si>
  <si>
    <t>其他污染防治支出</t>
  </si>
  <si>
    <t>自然生态保护</t>
  </si>
  <si>
    <t>生态保护</t>
  </si>
  <si>
    <t>农村环境保护</t>
  </si>
  <si>
    <t>生物及物种资源保护</t>
  </si>
  <si>
    <t>自然保护地</t>
  </si>
  <si>
    <t>森林保护修复</t>
  </si>
  <si>
    <t>森林管护</t>
  </si>
  <si>
    <t>能源节约利用</t>
  </si>
  <si>
    <t>循环经济</t>
  </si>
  <si>
    <t>其他节能环保支出</t>
  </si>
  <si>
    <t>城乡社区支出</t>
  </si>
  <si>
    <t>城乡社区管理事务</t>
  </si>
  <si>
    <t>城管执法</t>
  </si>
  <si>
    <t>市政公用行业市场监管</t>
  </si>
  <si>
    <t>其他城乡社区管理事务支出</t>
  </si>
  <si>
    <t>城乡社区公共设施</t>
  </si>
  <si>
    <t>其他城乡社区公共设施支出</t>
  </si>
  <si>
    <t>城乡社区环境卫生</t>
  </si>
  <si>
    <t>其他城乡社区支出</t>
  </si>
  <si>
    <t>农林水支出</t>
  </si>
  <si>
    <t>农业农村</t>
  </si>
  <si>
    <t>科技转化与推广服务</t>
  </si>
  <si>
    <t>病虫害控制</t>
  </si>
  <si>
    <t>农产品质量安全</t>
  </si>
  <si>
    <t>执法监管</t>
  </si>
  <si>
    <t>防灾救灾</t>
  </si>
  <si>
    <t>稳定农民收入补贴</t>
  </si>
  <si>
    <t>农业生产发展</t>
  </si>
  <si>
    <t>农村合作经济</t>
  </si>
  <si>
    <t>农村社会事业</t>
  </si>
  <si>
    <t>农业生态资源保护</t>
  </si>
  <si>
    <t>乡村道路建设</t>
  </si>
  <si>
    <t>耕地建设与利用</t>
  </si>
  <si>
    <t>其他农业农村支出</t>
  </si>
  <si>
    <t>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</si>
  <si>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</si>
  <si>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</si>
  <si>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</si>
  <si>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</si>
  <si>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</si>
  <si>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</si>
  <si>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产业化管理</t>
  </si>
  <si>
    <t>林业草原防灾减灾</t>
  </si>
  <si>
    <t>退耕还林还草</t>
  </si>
  <si>
    <t>其他林业和草原支出</t>
  </si>
  <si>
    <t>水利</t>
  </si>
  <si>
    <t>水利工程建设</t>
  </si>
  <si>
    <t>水利工程运行与维护</t>
  </si>
  <si>
    <t>水土保持</t>
  </si>
  <si>
    <t>水资源节约管理与保护</t>
  </si>
  <si>
    <t>防汛</t>
  </si>
  <si>
    <t>抗旱</t>
  </si>
  <si>
    <t>农村水利</t>
  </si>
  <si>
    <t>农村供水</t>
  </si>
  <si>
    <t>其他水利支出</t>
  </si>
  <si>
    <t>巩固脱贫攻坚成果衔接乡村振兴</t>
  </si>
  <si>
    <t>农村基础设施建设</t>
  </si>
  <si>
    <t>生产发展</t>
  </si>
  <si>
    <t>贷款奖补和贴息</t>
  </si>
  <si>
    <t>其他巩固脱贫攻坚成果衔接乡村振兴支出</t>
  </si>
  <si>
    <t>农村综合改革</t>
  </si>
  <si>
    <t>对村级公益事业建设的补助</t>
  </si>
  <si>
    <t>对村民委员会和村党支部的补助</t>
  </si>
  <si>
    <t>其他农村综合改革支出</t>
  </si>
  <si>
    <t>普惠金融发展支出</t>
  </si>
  <si>
    <t>农业保险保费补贴</t>
  </si>
  <si>
    <t>其他普惠金融发展支出</t>
  </si>
  <si>
    <t>其他农林水支出</t>
  </si>
  <si>
    <t>交通运输支出</t>
  </si>
  <si>
    <t>公路水路运输</t>
  </si>
  <si>
    <t>公路建设</t>
  </si>
  <si>
    <t>公路养护</t>
  </si>
  <si>
    <t>公路运输管理</t>
  </si>
  <si>
    <t>海事管理</t>
  </si>
  <si>
    <t>资源勘探工业信息等支出</t>
  </si>
  <si>
    <t>建筑业</t>
  </si>
  <si>
    <t>其他建筑业支出</t>
  </si>
  <si>
    <t>工业和信息产业</t>
  </si>
  <si>
    <t>产业发展</t>
  </si>
  <si>
    <t>其他资源勘探工业信息等支出</t>
  </si>
  <si>
    <t>商业服务业等支出</t>
  </si>
  <si>
    <t>商业流通事务</t>
  </si>
  <si>
    <t>其他商业流通事务支出</t>
  </si>
  <si>
    <t>其他商业服务业等支出</t>
  </si>
  <si>
    <t>金融支出</t>
  </si>
  <si>
    <t>金融部门行政支出</t>
  </si>
  <si>
    <t>援助其他地区支出</t>
  </si>
  <si>
    <t>其他支出</t>
  </si>
  <si>
    <t>自然资源海洋气象等支出</t>
  </si>
  <si>
    <t>自然资源事务</t>
  </si>
  <si>
    <t>自然资源规划及管理</t>
  </si>
  <si>
    <t>自然资源利用与保护</t>
  </si>
  <si>
    <t>自然资源行业业务管理</t>
  </si>
  <si>
    <t>自然资源调查与确权登记</t>
  </si>
  <si>
    <t>地质勘查与矿产资源管理</t>
  </si>
  <si>
    <t>其他自然资源事务支出</t>
  </si>
  <si>
    <t>气象事务</t>
  </si>
  <si>
    <t>气象服务</t>
  </si>
  <si>
    <t>住房保障支出</t>
  </si>
  <si>
    <t>保障性安居工程支出</t>
  </si>
  <si>
    <t>棚户区改造</t>
  </si>
  <si>
    <t>农村危房改造</t>
  </si>
  <si>
    <t>老旧小区改造</t>
  </si>
  <si>
    <t>配租型住房保障</t>
  </si>
  <si>
    <t>其他保障性安居工程支出</t>
  </si>
  <si>
    <t>住房改革支出</t>
  </si>
  <si>
    <t>住房公积金</t>
  </si>
  <si>
    <t>粮油物资储备支出</t>
  </si>
  <si>
    <t>粮油物资事务</t>
  </si>
  <si>
    <t>粮食风险基金</t>
  </si>
  <si>
    <t>其他粮油物资事务支出</t>
  </si>
  <si>
    <t>重要商品储备</t>
  </si>
  <si>
    <t>化肥储备</t>
  </si>
  <si>
    <t>应急物资储备</t>
  </si>
  <si>
    <t>灾害防治及应急管理支出</t>
  </si>
  <si>
    <t>应急管理事务</t>
  </si>
  <si>
    <t>灾害风险防治</t>
  </si>
  <si>
    <t>安全监管</t>
  </si>
  <si>
    <t>应急救援</t>
  </si>
  <si>
    <t>应急管理</t>
  </si>
  <si>
    <t>其他应急管理支出</t>
  </si>
  <si>
    <t>消防救援事务</t>
  </si>
  <si>
    <t>消防应急救援</t>
  </si>
  <si>
    <t>其他消防救援事务支出</t>
  </si>
  <si>
    <t>矿山安全</t>
  </si>
  <si>
    <t>自然灾害防治</t>
  </si>
  <si>
    <t>地质灾害防治</t>
  </si>
  <si>
    <t>自然灾害救灾及恢复重建支出</t>
  </si>
  <si>
    <t>自然灾害救灾补助</t>
  </si>
  <si>
    <t>其他自然灾害救灾及恢复重建支出</t>
  </si>
  <si>
    <t>预备费</t>
  </si>
  <si>
    <t>债务付息支出</t>
  </si>
  <si>
    <t>地方政府一般债务付息支出</t>
  </si>
  <si>
    <t>地方政府一般债券付息支出</t>
  </si>
  <si>
    <t>地方政府向国际组织借款付息支出</t>
  </si>
  <si>
    <t>债务发行费用支出</t>
  </si>
  <si>
    <t>地方政府一般债务发行费用支出</t>
  </si>
  <si>
    <t>附件4</t>
  </si>
  <si>
    <t>开阳县2026年政府性基金预算收支平衡调整表</t>
  </si>
  <si>
    <t>一、本级收入合计</t>
  </si>
  <si>
    <t>一、政府性基金预算支出合计</t>
  </si>
  <si>
    <t>二、地方政府专项债务转贷收入</t>
  </si>
  <si>
    <t>二、地方政府专项债务还本支出</t>
  </si>
  <si>
    <t>四、地方政府专项债务转贷支出</t>
  </si>
  <si>
    <t>五、调出资金</t>
  </si>
  <si>
    <t>六、上年结转收入</t>
  </si>
  <si>
    <t>六、结转安排支出</t>
  </si>
  <si>
    <t>七、下级上解支出</t>
  </si>
  <si>
    <t>附件5</t>
  </si>
  <si>
    <t>开阳县2026年国有资本经营预算平衡调整表</t>
  </si>
  <si>
    <t>一、国有资本经营预算支出合计</t>
  </si>
  <si>
    <t>二、上级补助收入</t>
  </si>
  <si>
    <t>二、补助下级支出</t>
  </si>
  <si>
    <t>三、上年结转收入</t>
  </si>
  <si>
    <t>三、调出资金</t>
  </si>
  <si>
    <t>四、结转安排支出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</si>
</sst>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0_ "/>
    <numFmt numFmtId="178" formatCode="#,##0_);[Red]\(#,##0\)"/>
    <numFmt numFmtId="179" formatCode="#,##0_ "/>
    <numFmt numFmtId="180" formatCode="0.0000_);[Red]\(0.0000\)"/>
    <numFmt numFmtId="181" formatCode="0.00_ "/>
    <numFmt numFmtId="182" formatCode="_ * #,##0_ ;_ * \-#,##0_ ;_ * &quot;-&quot;??_ ;_ @_ "/>
    <numFmt numFmtId="183" formatCode="#,##0_ ;[Red]\-#,##0\ "/>
    <numFmt numFmtId="184" formatCode="0_);[Red]\(0\)"/>
  </numFmts>
  <fonts count="44">
    <font>
      <sz val="11"/>
      <color theme="1"/>
      <name val="宋体"/>
      <charset val="134"/>
      <scheme val="minor"/>
    </font>
    <font>
      <sz val="12"/>
      <name val="楷体"/>
      <charset val="134"/>
    </font>
    <font>
      <sz val="12"/>
      <name val="宋体"/>
      <charset val="134"/>
    </font>
    <font>
      <sz val="16"/>
      <name val="黑体"/>
      <charset val="134"/>
    </font>
    <font>
      <sz val="11"/>
      <name val="楷体"/>
      <charset val="134"/>
    </font>
    <font>
      <sz val="22"/>
      <color rgb="FF000000"/>
      <name val="方正小标宋简体"/>
      <charset val="134"/>
    </font>
    <font>
      <b/>
      <sz val="11"/>
      <name val="楷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8"/>
      <name val="楷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4" borderId="13" applyNumberFormat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>
      <alignment vertical="top"/>
    </xf>
    <xf numFmtId="43" fontId="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176" fontId="11" fillId="0" borderId="3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right" vertical="center" wrapText="1"/>
    </xf>
    <xf numFmtId="176" fontId="13" fillId="0" borderId="3" xfId="0" applyNumberFormat="1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176" fontId="2" fillId="0" borderId="2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>
      <alignment vertical="center"/>
    </xf>
    <xf numFmtId="0" fontId="15" fillId="0" borderId="0" xfId="0" applyFont="1" applyFill="1" applyAlignment="1">
      <alignment vertical="center" wrapText="1"/>
    </xf>
    <xf numFmtId="177" fontId="15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left" vertical="top" wrapText="1"/>
    </xf>
    <xf numFmtId="177" fontId="4" fillId="0" borderId="0" xfId="0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177" fontId="1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9" fontId="7" fillId="0" borderId="3" xfId="0" applyNumberFormat="1" applyFont="1" applyFill="1" applyBorder="1" applyAlignment="1">
      <alignment horizontal="right" vertical="center" wrapText="1"/>
    </xf>
    <xf numFmtId="177" fontId="9" fillId="0" borderId="3" xfId="0" applyNumberFormat="1" applyFont="1" applyFill="1" applyBorder="1" applyAlignment="1">
      <alignment horizontal="right" vertical="center" wrapText="1"/>
    </xf>
    <xf numFmtId="0" fontId="18" fillId="0" borderId="2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 wrapText="1"/>
    </xf>
    <xf numFmtId="178" fontId="19" fillId="0" borderId="2" xfId="0" applyNumberFormat="1" applyFont="1" applyFill="1" applyBorder="1" applyAlignment="1">
      <alignment vertical="center"/>
    </xf>
    <xf numFmtId="179" fontId="20" fillId="0" borderId="2" xfId="0" applyNumberFormat="1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18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/>
    <xf numFmtId="0" fontId="2" fillId="0" borderId="8" xfId="0" applyFont="1" applyFill="1" applyBorder="1" applyAlignment="1"/>
    <xf numFmtId="0" fontId="18" fillId="0" borderId="9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/>
    <xf numFmtId="0" fontId="2" fillId="0" borderId="0" xfId="0" applyFont="1" applyFill="1" applyBorder="1" applyAlignment="1">
      <alignment shrinkToFit="1"/>
    </xf>
    <xf numFmtId="0" fontId="16" fillId="0" borderId="0" xfId="49" applyNumberFormat="1" applyFont="1" applyFill="1" applyAlignment="1" applyProtection="1">
      <alignment horizontal="center" vertical="center"/>
    </xf>
    <xf numFmtId="0" fontId="1" fillId="0" borderId="0" xfId="49" applyFont="1" applyFill="1" applyAlignment="1">
      <alignment horizontal="left" vertical="center"/>
    </xf>
    <xf numFmtId="43" fontId="21" fillId="0" borderId="0" xfId="50" applyFont="1" applyFill="1" applyAlignment="1">
      <alignment horizontal="left" vertical="center"/>
    </xf>
    <xf numFmtId="180" fontId="21" fillId="0" borderId="0" xfId="50" applyNumberFormat="1" applyFont="1" applyFill="1" applyAlignment="1">
      <alignment horizontal="left" vertical="center"/>
    </xf>
    <xf numFmtId="181" fontId="1" fillId="0" borderId="0" xfId="49" applyNumberFormat="1" applyFont="1" applyFill="1" applyAlignment="1">
      <alignment vertical="center"/>
    </xf>
    <xf numFmtId="181" fontId="1" fillId="0" borderId="0" xfId="49" applyNumberFormat="1" applyFont="1" applyFill="1" applyAlignment="1">
      <alignment horizontal="center" vertical="center"/>
    </xf>
    <xf numFmtId="0" fontId="7" fillId="0" borderId="2" xfId="49" applyNumberFormat="1" applyFont="1" applyFill="1" applyBorder="1" applyAlignment="1" applyProtection="1">
      <alignment horizontal="center" vertical="center" wrapText="1"/>
    </xf>
    <xf numFmtId="0" fontId="7" fillId="0" borderId="2" xfId="49" applyNumberFormat="1" applyFont="1" applyFill="1" applyBorder="1" applyAlignment="1" applyProtection="1">
      <alignment horizontal="center" vertical="center" shrinkToFit="1"/>
    </xf>
    <xf numFmtId="182" fontId="7" fillId="0" borderId="2" xfId="50" applyNumberFormat="1" applyFont="1" applyFill="1" applyBorder="1" applyAlignment="1" applyProtection="1">
      <alignment horizontal="center" vertical="center" wrapText="1"/>
    </xf>
    <xf numFmtId="181" fontId="7" fillId="0" borderId="2" xfId="49" applyNumberFormat="1" applyFont="1" applyFill="1" applyBorder="1" applyAlignment="1" applyProtection="1">
      <alignment horizontal="center" vertical="center" wrapText="1"/>
    </xf>
    <xf numFmtId="0" fontId="2" fillId="0" borderId="6" xfId="49" applyNumberFormat="1" applyFont="1" applyFill="1" applyBorder="1" applyAlignment="1" applyProtection="1">
      <alignment horizontal="center" vertical="center" wrapText="1"/>
    </xf>
    <xf numFmtId="0" fontId="2" fillId="0" borderId="7" xfId="49" applyNumberFormat="1" applyFont="1" applyFill="1" applyBorder="1" applyAlignment="1" applyProtection="1">
      <alignment horizontal="center" vertical="center" wrapText="1"/>
    </xf>
    <xf numFmtId="0" fontId="2" fillId="0" borderId="2" xfId="49" applyNumberFormat="1" applyFont="1" applyFill="1" applyBorder="1" applyAlignment="1" applyProtection="1">
      <alignment horizontal="center" vertical="center" shrinkToFit="1"/>
    </xf>
    <xf numFmtId="0" fontId="2" fillId="0" borderId="2" xfId="49" applyNumberFormat="1" applyFont="1" applyFill="1" applyBorder="1" applyAlignment="1" applyProtection="1">
      <alignment horizontal="center" vertical="center" wrapText="1"/>
    </xf>
    <xf numFmtId="182" fontId="2" fillId="0" borderId="2" xfId="50" applyNumberFormat="1" applyFont="1" applyFill="1" applyBorder="1" applyAlignment="1" applyProtection="1">
      <alignment horizontal="center" vertical="center" wrapText="1"/>
    </xf>
    <xf numFmtId="181" fontId="2" fillId="0" borderId="2" xfId="49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9" fillId="0" borderId="2" xfId="49" applyNumberFormat="1" applyFont="1" applyFill="1" applyBorder="1" applyAlignment="1" applyProtection="1">
      <alignment horizontal="left" vertical="center"/>
    </xf>
    <xf numFmtId="0" fontId="9" fillId="0" borderId="2" xfId="49" applyNumberFormat="1" applyFont="1" applyFill="1" applyBorder="1" applyAlignment="1" applyProtection="1">
      <alignment horizontal="left" vertical="center" shrinkToFit="1"/>
    </xf>
    <xf numFmtId="179" fontId="9" fillId="0" borderId="2" xfId="50" applyNumberFormat="1" applyFont="1" applyFill="1" applyBorder="1" applyAlignment="1" applyProtection="1">
      <alignment horizontal="center" vertical="center"/>
    </xf>
    <xf numFmtId="183" fontId="9" fillId="0" borderId="2" xfId="50" applyNumberFormat="1" applyFont="1" applyFill="1" applyBorder="1" applyAlignment="1" applyProtection="1">
      <alignment horizontal="right" vertical="center"/>
    </xf>
    <xf numFmtId="10" fontId="9" fillId="0" borderId="2" xfId="49" applyNumberFormat="1" applyFont="1" applyFill="1" applyBorder="1" applyAlignment="1">
      <alignment vertical="center"/>
    </xf>
    <xf numFmtId="183" fontId="9" fillId="0" borderId="2" xfId="0" applyNumberFormat="1" applyFont="1" applyFill="1" applyBorder="1" applyAlignment="1">
      <alignment vertical="center"/>
    </xf>
    <xf numFmtId="183" fontId="9" fillId="0" borderId="2" xfId="50" applyNumberFormat="1" applyFont="1" applyFill="1" applyBorder="1" applyAlignment="1">
      <alignment vertical="center"/>
    </xf>
    <xf numFmtId="179" fontId="9" fillId="0" borderId="2" xfId="50" applyNumberFormat="1" applyFont="1" applyFill="1" applyBorder="1" applyAlignment="1">
      <alignment horizontal="center" vertical="center"/>
    </xf>
    <xf numFmtId="183" fontId="9" fillId="0" borderId="2" xfId="49" applyNumberFormat="1" applyFont="1" applyFill="1" applyBorder="1" applyAlignment="1" applyProtection="1">
      <alignment horizontal="right" vertical="center"/>
    </xf>
    <xf numFmtId="0" fontId="2" fillId="0" borderId="2" xfId="49" applyNumberFormat="1" applyFont="1" applyFill="1" applyBorder="1" applyAlignment="1" applyProtection="1">
      <alignment horizontal="left" vertical="center"/>
    </xf>
    <xf numFmtId="0" fontId="2" fillId="0" borderId="2" xfId="49" applyNumberFormat="1" applyFont="1" applyFill="1" applyBorder="1" applyAlignment="1" applyProtection="1">
      <alignment horizontal="left" vertical="center" shrinkToFit="1"/>
    </xf>
    <xf numFmtId="179" fontId="2" fillId="0" borderId="2" xfId="0" applyNumberFormat="1" applyFont="1" applyFill="1" applyBorder="1" applyAlignment="1">
      <alignment vertical="center"/>
    </xf>
    <xf numFmtId="179" fontId="2" fillId="0" borderId="2" xfId="49" applyNumberFormat="1" applyFont="1" applyFill="1" applyBorder="1" applyAlignment="1" applyProtection="1">
      <alignment horizontal="center" vertical="center"/>
    </xf>
    <xf numFmtId="183" fontId="2" fillId="0" borderId="2" xfId="50" applyNumberFormat="1" applyFont="1" applyFill="1" applyBorder="1" applyAlignment="1" applyProtection="1">
      <alignment horizontal="right" vertical="center"/>
    </xf>
    <xf numFmtId="183" fontId="2" fillId="0" borderId="2" xfId="49" applyNumberFormat="1" applyFont="1" applyFill="1" applyBorder="1" applyAlignment="1" applyProtection="1">
      <alignment horizontal="right" vertical="center"/>
    </xf>
    <xf numFmtId="10" fontId="2" fillId="0" borderId="2" xfId="49" applyNumberFormat="1" applyFont="1" applyFill="1" applyBorder="1" applyAlignment="1">
      <alignment horizontal="right" vertical="center"/>
    </xf>
    <xf numFmtId="183" fontId="2" fillId="0" borderId="2" xfId="0" applyNumberFormat="1" applyFont="1" applyFill="1" applyBorder="1" applyAlignment="1">
      <alignment horizontal="right"/>
    </xf>
    <xf numFmtId="179" fontId="2" fillId="0" borderId="2" xfId="50" applyNumberFormat="1" applyFont="1" applyFill="1" applyBorder="1" applyAlignment="1" applyProtection="1">
      <alignment horizontal="center" vertical="center"/>
    </xf>
    <xf numFmtId="183" fontId="2" fillId="0" borderId="2" xfId="49" applyNumberFormat="1" applyFont="1" applyFill="1" applyBorder="1" applyAlignment="1" applyProtection="1">
      <alignment horizontal="right" vertical="center" shrinkToFit="1"/>
    </xf>
    <xf numFmtId="10" fontId="2" fillId="0" borderId="2" xfId="49" applyNumberFormat="1" applyFont="1" applyFill="1" applyBorder="1" applyAlignment="1">
      <alignment vertical="center"/>
    </xf>
    <xf numFmtId="183" fontId="2" fillId="0" borderId="2" xfId="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vertical="center" shrinkToFit="1"/>
    </xf>
    <xf numFmtId="184" fontId="9" fillId="0" borderId="2" xfId="49" applyNumberFormat="1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千位分隔 2" xfId="50"/>
    <cellStyle name="常规 4" xfId="51"/>
    <cellStyle name="常规_Sheet1" xfId="52"/>
    <cellStyle name="常规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zoomScale="115" zoomScaleNormal="115" topLeftCell="A2" workbookViewId="0">
      <selection activeCell="C8" sqref="C8"/>
    </sheetView>
  </sheetViews>
  <sheetFormatPr defaultColWidth="9" defaultRowHeight="14.25"/>
  <cols>
    <col min="1" max="1" width="23.575" style="2" customWidth="1"/>
    <col min="2" max="2" width="14.5" style="109" customWidth="1"/>
    <col min="3" max="3" width="14.025" style="109" customWidth="1"/>
    <col min="4" max="4" width="14.5" style="109" customWidth="1"/>
    <col min="5" max="5" width="27.625" style="109" customWidth="1"/>
    <col min="6" max="6" width="14.5" style="109" customWidth="1"/>
    <col min="7" max="7" width="13.1416666666667" style="109" customWidth="1"/>
    <col min="8" max="8" width="14.5" style="109" customWidth="1"/>
    <col min="9" max="9" width="8.18333333333333" style="109" customWidth="1"/>
    <col min="10" max="11" width="9" style="109" customWidth="1"/>
    <col min="12" max="248" width="9" style="109"/>
    <col min="249" max="16384" width="9" style="2"/>
  </cols>
  <sheetData>
    <row r="1" ht="28" customHeight="1" spans="1:9">
      <c r="A1" s="3" t="s">
        <v>0</v>
      </c>
      <c r="B1" s="110" t="s">
        <v>1</v>
      </c>
      <c r="C1" s="110" t="s">
        <v>1</v>
      </c>
      <c r="D1" s="110" t="s">
        <v>1</v>
      </c>
      <c r="E1" s="110" t="s">
        <v>1</v>
      </c>
      <c r="F1" s="110" t="s">
        <v>1</v>
      </c>
      <c r="G1" s="110" t="s">
        <v>1</v>
      </c>
      <c r="H1" s="110" t="s">
        <v>1</v>
      </c>
      <c r="I1" s="110" t="s">
        <v>1</v>
      </c>
    </row>
    <row r="2" ht="40" customHeight="1" spans="1:9">
      <c r="A2" s="5" t="s">
        <v>2</v>
      </c>
      <c r="B2" s="5"/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ht="15" customHeight="1" spans="1:9">
      <c r="A3" s="6" t="s">
        <v>3</v>
      </c>
      <c r="B3" s="6"/>
      <c r="C3" s="6" t="s">
        <v>1</v>
      </c>
      <c r="D3" s="6" t="s">
        <v>1</v>
      </c>
      <c r="E3" s="111" t="s">
        <v>1</v>
      </c>
      <c r="F3" s="112" t="s">
        <v>1</v>
      </c>
      <c r="G3" s="112" t="s">
        <v>1</v>
      </c>
      <c r="H3" s="113" t="s">
        <v>4</v>
      </c>
      <c r="I3" s="113"/>
    </row>
    <row r="4" ht="30" customHeight="1" spans="1:9">
      <c r="A4" s="9" t="s">
        <v>5</v>
      </c>
      <c r="B4" s="9"/>
      <c r="C4" s="9" t="s">
        <v>1</v>
      </c>
      <c r="D4" s="9" t="s">
        <v>1</v>
      </c>
      <c r="E4" s="9" t="s">
        <v>6</v>
      </c>
      <c r="F4" s="9"/>
      <c r="G4" s="9" t="s">
        <v>1</v>
      </c>
      <c r="H4" s="9" t="s">
        <v>1</v>
      </c>
      <c r="I4" s="9" t="s">
        <v>7</v>
      </c>
    </row>
    <row r="5" ht="56.25" spans="1:9">
      <c r="A5" s="9" t="s">
        <v>8</v>
      </c>
      <c r="B5" s="9" t="s">
        <v>9</v>
      </c>
      <c r="C5" s="9" t="s">
        <v>10</v>
      </c>
      <c r="D5" s="9" t="s">
        <v>11</v>
      </c>
      <c r="E5" s="9" t="s">
        <v>8</v>
      </c>
      <c r="F5" s="9" t="s">
        <v>9</v>
      </c>
      <c r="G5" s="9" t="s">
        <v>10</v>
      </c>
      <c r="H5" s="9" t="s">
        <v>11</v>
      </c>
      <c r="I5" s="9"/>
    </row>
    <row r="6" ht="30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 ht="30" customHeight="1" spans="1:9">
      <c r="A7" s="17" t="s">
        <v>21</v>
      </c>
      <c r="B7" s="18">
        <v>174442</v>
      </c>
      <c r="C7" s="18">
        <v>0</v>
      </c>
      <c r="D7" s="18">
        <f t="shared" ref="D7:D14" si="0">SUM(B7:C7)</f>
        <v>174442</v>
      </c>
      <c r="E7" s="19" t="s">
        <v>22</v>
      </c>
      <c r="F7" s="20">
        <v>390657</v>
      </c>
      <c r="G7" s="20">
        <v>24029</v>
      </c>
      <c r="H7" s="20">
        <f t="shared" ref="H7:H14" si="1">SUM(F7:G7)</f>
        <v>414686</v>
      </c>
      <c r="I7" s="27" t="s">
        <v>1</v>
      </c>
    </row>
    <row r="8" ht="60" customHeight="1" spans="1:9">
      <c r="A8" s="28" t="s">
        <v>23</v>
      </c>
      <c r="B8" s="18">
        <v>0</v>
      </c>
      <c r="C8" s="18">
        <v>24414</v>
      </c>
      <c r="D8" s="18">
        <f t="shared" si="0"/>
        <v>24414</v>
      </c>
      <c r="E8" s="27" t="s">
        <v>24</v>
      </c>
      <c r="F8" s="20">
        <v>4296</v>
      </c>
      <c r="G8" s="20">
        <v>24414</v>
      </c>
      <c r="H8" s="20">
        <f t="shared" si="1"/>
        <v>28710</v>
      </c>
      <c r="I8" s="27" t="s">
        <v>1</v>
      </c>
    </row>
    <row r="9" ht="30" customHeight="1" spans="1:9">
      <c r="A9" s="17" t="s">
        <v>25</v>
      </c>
      <c r="B9" s="18">
        <v>167624</v>
      </c>
      <c r="C9" s="18">
        <v>34029</v>
      </c>
      <c r="D9" s="18">
        <f t="shared" si="0"/>
        <v>201653</v>
      </c>
      <c r="E9" s="19" t="s">
        <v>26</v>
      </c>
      <c r="F9" s="20" t="s">
        <v>1</v>
      </c>
      <c r="G9" s="20" t="s">
        <v>1</v>
      </c>
      <c r="H9" s="20">
        <f t="shared" si="1"/>
        <v>0</v>
      </c>
      <c r="I9" s="27" t="s">
        <v>1</v>
      </c>
    </row>
    <row r="10" ht="30" customHeight="1" spans="1:9">
      <c r="A10" s="17" t="s">
        <v>27</v>
      </c>
      <c r="B10" s="18" t="s">
        <v>1</v>
      </c>
      <c r="C10" s="18" t="s">
        <v>1</v>
      </c>
      <c r="D10" s="18">
        <f t="shared" si="0"/>
        <v>0</v>
      </c>
      <c r="E10" s="19" t="s">
        <v>28</v>
      </c>
      <c r="F10" s="20">
        <v>26340</v>
      </c>
      <c r="G10" s="20">
        <v>0</v>
      </c>
      <c r="H10" s="20">
        <f t="shared" si="1"/>
        <v>26340</v>
      </c>
      <c r="I10" s="27" t="s">
        <v>1</v>
      </c>
    </row>
    <row r="11" ht="30" customHeight="1" spans="1:9">
      <c r="A11" s="17" t="s">
        <v>29</v>
      </c>
      <c r="B11" s="18">
        <v>60000</v>
      </c>
      <c r="C11" s="18">
        <v>-10000</v>
      </c>
      <c r="D11" s="18">
        <f t="shared" si="0"/>
        <v>50000</v>
      </c>
      <c r="E11" s="19" t="s">
        <v>30</v>
      </c>
      <c r="F11" s="20">
        <v>0</v>
      </c>
      <c r="G11" s="20" t="s">
        <v>1</v>
      </c>
      <c r="H11" s="20">
        <f t="shared" si="1"/>
        <v>0</v>
      </c>
      <c r="I11" s="27" t="s">
        <v>1</v>
      </c>
    </row>
    <row r="12" ht="41" customHeight="1" spans="1:9">
      <c r="A12" s="17" t="s">
        <v>31</v>
      </c>
      <c r="B12" s="18">
        <v>5535</v>
      </c>
      <c r="C12" s="18">
        <v>0</v>
      </c>
      <c r="D12" s="18">
        <f t="shared" si="0"/>
        <v>5535</v>
      </c>
      <c r="E12" s="19" t="s">
        <v>32</v>
      </c>
      <c r="F12" s="20" t="s">
        <v>1</v>
      </c>
      <c r="G12" s="20" t="s">
        <v>1</v>
      </c>
      <c r="H12" s="20">
        <f t="shared" si="1"/>
        <v>0</v>
      </c>
      <c r="I12" s="27" t="s">
        <v>1</v>
      </c>
    </row>
    <row r="13" ht="30" customHeight="1" spans="1:9">
      <c r="A13" s="17" t="s">
        <v>33</v>
      </c>
      <c r="B13" s="18">
        <v>13692</v>
      </c>
      <c r="C13" s="18">
        <v>0</v>
      </c>
      <c r="D13" s="18">
        <f t="shared" si="0"/>
        <v>13692</v>
      </c>
      <c r="E13" s="19" t="s">
        <v>34</v>
      </c>
      <c r="F13" s="20"/>
      <c r="G13" s="20"/>
      <c r="H13" s="20">
        <f t="shared" si="1"/>
        <v>0</v>
      </c>
      <c r="I13" s="27" t="s">
        <v>1</v>
      </c>
    </row>
    <row r="14" ht="30" customHeight="1" spans="1:9">
      <c r="A14" s="17" t="s">
        <v>35</v>
      </c>
      <c r="B14" s="18" t="s">
        <v>1</v>
      </c>
      <c r="C14" s="18" t="s">
        <v>1</v>
      </c>
      <c r="D14" s="18">
        <f t="shared" si="0"/>
        <v>0</v>
      </c>
      <c r="E14" s="27" t="s">
        <v>36</v>
      </c>
      <c r="F14" s="20" t="s">
        <v>1</v>
      </c>
      <c r="G14" s="20" t="s">
        <v>1</v>
      </c>
      <c r="H14" s="20">
        <f t="shared" si="1"/>
        <v>0</v>
      </c>
      <c r="I14" s="27" t="s">
        <v>1</v>
      </c>
    </row>
    <row r="15" ht="30" customHeight="1" spans="1:9">
      <c r="A15" s="12" t="s">
        <v>37</v>
      </c>
      <c r="B15" s="22">
        <f>SUM(B7:B14)</f>
        <v>421293</v>
      </c>
      <c r="C15" s="22">
        <f>SUM(C7:C14)</f>
        <v>48443</v>
      </c>
      <c r="D15" s="22">
        <f>SUM(D7:D14)</f>
        <v>469736</v>
      </c>
      <c r="E15" s="13" t="s">
        <v>38</v>
      </c>
      <c r="F15" s="23">
        <f>SUM(F7:F14)</f>
        <v>421293</v>
      </c>
      <c r="G15" s="23">
        <f>SUM(G7:G14)</f>
        <v>48443</v>
      </c>
      <c r="H15" s="23">
        <f>SUM(H7:H14)</f>
        <v>469736</v>
      </c>
      <c r="I15" s="27" t="s">
        <v>1</v>
      </c>
    </row>
    <row r="16" ht="15" spans="1:9">
      <c r="A16" s="114"/>
      <c r="B16" s="110" t="s">
        <v>1</v>
      </c>
      <c r="C16" s="110" t="s">
        <v>1</v>
      </c>
      <c r="D16" s="110" t="s">
        <v>1</v>
      </c>
      <c r="E16" s="110" t="s">
        <v>1</v>
      </c>
      <c r="F16" s="110" t="s">
        <v>1</v>
      </c>
      <c r="G16" s="110" t="s">
        <v>1</v>
      </c>
      <c r="H16" s="110" t="s">
        <v>1</v>
      </c>
      <c r="I16" s="110" t="s">
        <v>1</v>
      </c>
    </row>
  </sheetData>
  <mergeCells count="6">
    <mergeCell ref="A2:I2"/>
    <mergeCell ref="A3:B3"/>
    <mergeCell ref="H3:I3"/>
    <mergeCell ref="A4:D4"/>
    <mergeCell ref="E4:H4"/>
    <mergeCell ref="I4:I5"/>
  </mergeCells>
  <pageMargins left="0.865972222222222" right="0.751388888888889" top="0.550694444444444" bottom="0.550694444444444" header="0.5" footer="0.5"/>
  <pageSetup paperSize="9" scale="90" orientation="landscape" horizontalDpi="600"/>
  <headerFooter>
    <oddFooter>&amp;C第 &amp;P 页，共 &amp;N 页</oddFooter>
  </headerFooter>
  <ignoredErrors>
    <ignoredError sqref="B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workbookViewId="0">
      <selection activeCell="F14" sqref="F14"/>
    </sheetView>
  </sheetViews>
  <sheetFormatPr defaultColWidth="9" defaultRowHeight="14.25"/>
  <cols>
    <col min="1" max="1" width="5.625" style="34" customWidth="1"/>
    <col min="2" max="2" width="11.25" style="2" customWidth="1"/>
    <col min="3" max="3" width="27.95" style="67" customWidth="1"/>
    <col min="4" max="4" width="11.5" style="2" customWidth="1"/>
    <col min="5" max="5" width="11.875" style="2" customWidth="1"/>
    <col min="6" max="6" width="14.125" style="2" customWidth="1"/>
    <col min="7" max="7" width="11.25" style="2" customWidth="1"/>
    <col min="8" max="8" width="14.875" style="2" customWidth="1"/>
    <col min="9" max="9" width="17.375" style="2" customWidth="1"/>
    <col min="10" max="10" width="16" style="2" customWidth="1"/>
    <col min="11" max="11" width="18" style="2" customWidth="1"/>
    <col min="12" max="12" width="12.6333333333333" style="2"/>
    <col min="13" max="13" width="11.5" style="2"/>
    <col min="14" max="16378" width="9" style="2"/>
    <col min="16379" max="16384" width="9" style="34"/>
  </cols>
  <sheetData>
    <row r="1" ht="26" customHeight="1" spans="1:11">
      <c r="A1" s="3" t="s">
        <v>39</v>
      </c>
      <c r="B1" s="3"/>
    </row>
    <row r="2" s="2" customFormat="1" ht="32" customHeight="1" spans="1:11">
      <c r="A2" s="68" t="s">
        <v>40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="2" customFormat="1" ht="15" customHeight="1" spans="1:11">
      <c r="A3" s="69" t="s">
        <v>3</v>
      </c>
      <c r="B3" s="69"/>
      <c r="C3" s="69"/>
      <c r="D3" s="70"/>
      <c r="E3" s="71"/>
      <c r="F3" s="71"/>
      <c r="G3" s="71"/>
      <c r="H3" s="72"/>
      <c r="I3" s="72"/>
      <c r="J3" s="73" t="s">
        <v>4</v>
      </c>
      <c r="K3" s="72"/>
    </row>
    <row r="4" s="2" customFormat="1" ht="36" customHeight="1" spans="1:11">
      <c r="A4" s="74" t="s">
        <v>41</v>
      </c>
      <c r="B4" s="74" t="s">
        <v>42</v>
      </c>
      <c r="C4" s="75" t="s">
        <v>43</v>
      </c>
      <c r="D4" s="74" t="s">
        <v>44</v>
      </c>
      <c r="E4" s="76" t="s">
        <v>45</v>
      </c>
      <c r="F4" s="76" t="s">
        <v>46</v>
      </c>
      <c r="G4" s="76" t="s">
        <v>47</v>
      </c>
      <c r="H4" s="76" t="s">
        <v>48</v>
      </c>
      <c r="I4" s="76"/>
      <c r="J4" s="76" t="s">
        <v>49</v>
      </c>
      <c r="K4" s="76" t="s">
        <v>50</v>
      </c>
    </row>
    <row r="5" s="2" customFormat="1" ht="39" customHeight="1" spans="1:11">
      <c r="A5" s="74"/>
      <c r="B5" s="74"/>
      <c r="C5" s="75"/>
      <c r="D5" s="74"/>
      <c r="E5" s="76"/>
      <c r="F5" s="76"/>
      <c r="G5" s="76"/>
      <c r="H5" s="77" t="s">
        <v>51</v>
      </c>
      <c r="I5" s="74" t="s">
        <v>52</v>
      </c>
      <c r="J5" s="76"/>
      <c r="K5" s="76"/>
    </row>
    <row r="6" s="2" customFormat="1" ht="25" customHeight="1" spans="1:11">
      <c r="A6" s="78" t="s">
        <v>12</v>
      </c>
      <c r="B6" s="79"/>
      <c r="C6" s="80">
        <v>1</v>
      </c>
      <c r="D6" s="81">
        <v>2</v>
      </c>
      <c r="E6" s="82">
        <v>3</v>
      </c>
      <c r="F6" s="82">
        <v>4</v>
      </c>
      <c r="G6" s="82" t="s">
        <v>53</v>
      </c>
      <c r="H6" s="83" t="s">
        <v>54</v>
      </c>
      <c r="I6" s="81" t="s">
        <v>55</v>
      </c>
      <c r="J6" s="82">
        <v>8</v>
      </c>
      <c r="K6" s="82" t="s">
        <v>56</v>
      </c>
    </row>
    <row r="7" s="2" customFormat="1" ht="25" customHeight="1" spans="1:11">
      <c r="A7" s="84">
        <v>1</v>
      </c>
      <c r="B7" s="85"/>
      <c r="C7" s="86" t="s">
        <v>57</v>
      </c>
      <c r="D7" s="87">
        <f>D8+D24</f>
        <v>169360</v>
      </c>
      <c r="E7" s="88">
        <f>E8+E24</f>
        <v>174442</v>
      </c>
      <c r="F7" s="88">
        <f>G7-E7</f>
        <v>0</v>
      </c>
      <c r="G7" s="88">
        <f>G8+G24</f>
        <v>174442</v>
      </c>
      <c r="H7" s="89">
        <f t="shared" ref="H7:H40" si="0">(I7/D7)</f>
        <v>0.0300070854983467</v>
      </c>
      <c r="I7" s="90">
        <f t="shared" ref="I7:I38" si="1">G7-D7</f>
        <v>5082</v>
      </c>
      <c r="J7" s="91">
        <f>J8+J24</f>
        <v>131750</v>
      </c>
      <c r="K7" s="89">
        <f t="shared" ref="K7:K38" si="2">J7/G7</f>
        <v>0.755265360406324</v>
      </c>
    </row>
    <row r="8" s="2" customFormat="1" ht="25" customHeight="1" spans="1:11">
      <c r="A8" s="84">
        <v>2</v>
      </c>
      <c r="B8" s="85" t="s">
        <v>58</v>
      </c>
      <c r="C8" s="86" t="s">
        <v>59</v>
      </c>
      <c r="D8" s="92">
        <f>SUM(D9:D23)</f>
        <v>130077</v>
      </c>
      <c r="E8" s="91">
        <f>SUM(E9:E23)</f>
        <v>134000</v>
      </c>
      <c r="F8" s="88">
        <f>G8-E8</f>
        <v>0</v>
      </c>
      <c r="G8" s="91">
        <f>SUM(G9:G23)</f>
        <v>134000</v>
      </c>
      <c r="H8" s="89">
        <f t="shared" si="0"/>
        <v>0.0301590596339091</v>
      </c>
      <c r="I8" s="90">
        <f t="shared" si="1"/>
        <v>3923</v>
      </c>
      <c r="J8" s="93">
        <f>SUM(J9:J23)</f>
        <v>98422</v>
      </c>
      <c r="K8" s="89">
        <f t="shared" si="2"/>
        <v>0.734492537313433</v>
      </c>
    </row>
    <row r="9" s="2" customFormat="1" ht="25" customHeight="1" spans="1:11">
      <c r="A9" s="84">
        <v>3</v>
      </c>
      <c r="B9" s="94">
        <v>10101</v>
      </c>
      <c r="C9" s="95" t="s">
        <v>60</v>
      </c>
      <c r="D9" s="96">
        <v>35967</v>
      </c>
      <c r="E9" s="97">
        <v>37050</v>
      </c>
      <c r="F9" s="98"/>
      <c r="G9" s="99">
        <f t="shared" ref="G9:G22" si="3">E9+F9</f>
        <v>37050</v>
      </c>
      <c r="H9" s="100">
        <f t="shared" si="0"/>
        <v>0.0301109350237718</v>
      </c>
      <c r="I9" s="101">
        <f t="shared" si="1"/>
        <v>1083</v>
      </c>
      <c r="J9" s="99">
        <v>27405</v>
      </c>
      <c r="K9" s="100">
        <f t="shared" si="2"/>
        <v>0.739676113360324</v>
      </c>
    </row>
    <row r="10" s="2" customFormat="1" ht="25" customHeight="1" spans="1:11">
      <c r="A10" s="84">
        <v>4</v>
      </c>
      <c r="B10" s="94" t="s">
        <v>61</v>
      </c>
      <c r="C10" s="95" t="s">
        <v>62</v>
      </c>
      <c r="D10" s="96">
        <v>31729</v>
      </c>
      <c r="E10" s="97">
        <v>32500</v>
      </c>
      <c r="F10" s="98">
        <v>-2600</v>
      </c>
      <c r="G10" s="99">
        <f t="shared" si="3"/>
        <v>29900</v>
      </c>
      <c r="H10" s="100">
        <f t="shared" si="0"/>
        <v>-0.0576444262346749</v>
      </c>
      <c r="I10" s="101">
        <f t="shared" si="1"/>
        <v>-1829</v>
      </c>
      <c r="J10" s="99">
        <v>21168</v>
      </c>
      <c r="K10" s="100">
        <f t="shared" si="2"/>
        <v>0.707959866220736</v>
      </c>
    </row>
    <row r="11" s="2" customFormat="1" ht="25" customHeight="1" spans="1:11">
      <c r="A11" s="84">
        <v>5</v>
      </c>
      <c r="B11" s="94" t="s">
        <v>63</v>
      </c>
      <c r="C11" s="95" t="s">
        <v>64</v>
      </c>
      <c r="D11" s="96">
        <v>2037</v>
      </c>
      <c r="E11" s="97">
        <v>2100</v>
      </c>
      <c r="F11" s="98">
        <v>1800</v>
      </c>
      <c r="G11" s="99">
        <f t="shared" si="3"/>
        <v>3900</v>
      </c>
      <c r="H11" s="100">
        <f t="shared" si="0"/>
        <v>0.914580265095729</v>
      </c>
      <c r="I11" s="101">
        <f t="shared" si="1"/>
        <v>1863</v>
      </c>
      <c r="J11" s="99">
        <v>3340</v>
      </c>
      <c r="K11" s="100">
        <f t="shared" si="2"/>
        <v>0.856410256410256</v>
      </c>
    </row>
    <row r="12" s="2" customFormat="1" ht="25" customHeight="1" spans="1:11">
      <c r="A12" s="84">
        <v>6</v>
      </c>
      <c r="B12" s="94" t="s">
        <v>65</v>
      </c>
      <c r="C12" s="95" t="s">
        <v>66</v>
      </c>
      <c r="D12" s="96">
        <v>34379</v>
      </c>
      <c r="E12" s="97">
        <v>35460</v>
      </c>
      <c r="F12" s="98">
        <v>-4400</v>
      </c>
      <c r="G12" s="99">
        <f t="shared" si="3"/>
        <v>31060</v>
      </c>
      <c r="H12" s="100">
        <f t="shared" si="0"/>
        <v>-0.0965414933535007</v>
      </c>
      <c r="I12" s="101">
        <f t="shared" si="1"/>
        <v>-3319</v>
      </c>
      <c r="J12" s="99">
        <v>22705</v>
      </c>
      <c r="K12" s="100">
        <f t="shared" si="2"/>
        <v>0.731004507405023</v>
      </c>
    </row>
    <row r="13" s="2" customFormat="1" ht="25" customHeight="1" spans="1:11">
      <c r="A13" s="84">
        <v>7</v>
      </c>
      <c r="B13" s="94" t="s">
        <v>67</v>
      </c>
      <c r="C13" s="95" t="s">
        <v>68</v>
      </c>
      <c r="D13" s="96">
        <v>4634</v>
      </c>
      <c r="E13" s="97">
        <v>4750</v>
      </c>
      <c r="F13" s="98"/>
      <c r="G13" s="99">
        <f t="shared" si="3"/>
        <v>4750</v>
      </c>
      <c r="H13" s="100">
        <f t="shared" si="0"/>
        <v>0.0250323694432456</v>
      </c>
      <c r="I13" s="101">
        <f t="shared" si="1"/>
        <v>116</v>
      </c>
      <c r="J13" s="99">
        <v>3329</v>
      </c>
      <c r="K13" s="100">
        <f t="shared" si="2"/>
        <v>0.700842105263158</v>
      </c>
    </row>
    <row r="14" s="2" customFormat="1" ht="25" customHeight="1" spans="1:11">
      <c r="A14" s="84">
        <v>8</v>
      </c>
      <c r="B14" s="94">
        <v>10110</v>
      </c>
      <c r="C14" s="95" t="s">
        <v>69</v>
      </c>
      <c r="D14" s="96">
        <v>4354</v>
      </c>
      <c r="E14" s="97">
        <v>4500</v>
      </c>
      <c r="F14" s="98">
        <v>-1000</v>
      </c>
      <c r="G14" s="99">
        <f t="shared" si="3"/>
        <v>3500</v>
      </c>
      <c r="H14" s="100">
        <f t="shared" si="0"/>
        <v>-0.196141479099678</v>
      </c>
      <c r="I14" s="101">
        <f t="shared" si="1"/>
        <v>-854</v>
      </c>
      <c r="J14" s="99">
        <v>2496</v>
      </c>
      <c r="K14" s="100">
        <f t="shared" si="2"/>
        <v>0.713142857142857</v>
      </c>
    </row>
    <row r="15" s="2" customFormat="1" ht="25" customHeight="1" spans="1:11">
      <c r="A15" s="84">
        <v>9</v>
      </c>
      <c r="B15" s="94" t="s">
        <v>70</v>
      </c>
      <c r="C15" s="95" t="s">
        <v>71</v>
      </c>
      <c r="D15" s="96">
        <v>3655</v>
      </c>
      <c r="E15" s="97">
        <v>3700</v>
      </c>
      <c r="F15" s="98"/>
      <c r="G15" s="99">
        <f t="shared" si="3"/>
        <v>3700</v>
      </c>
      <c r="H15" s="100">
        <f t="shared" si="0"/>
        <v>0.012311901504788</v>
      </c>
      <c r="I15" s="101">
        <f t="shared" si="1"/>
        <v>45</v>
      </c>
      <c r="J15" s="99">
        <v>2989</v>
      </c>
      <c r="K15" s="100">
        <f t="shared" si="2"/>
        <v>0.807837837837838</v>
      </c>
    </row>
    <row r="16" s="2" customFormat="1" ht="25" customHeight="1" spans="1:11">
      <c r="A16" s="84">
        <v>10</v>
      </c>
      <c r="B16" s="94" t="s">
        <v>72</v>
      </c>
      <c r="C16" s="95" t="s">
        <v>73</v>
      </c>
      <c r="D16" s="96">
        <v>1978</v>
      </c>
      <c r="E16" s="97">
        <v>2050</v>
      </c>
      <c r="F16" s="98"/>
      <c r="G16" s="99">
        <f t="shared" si="3"/>
        <v>2050</v>
      </c>
      <c r="H16" s="100">
        <f t="shared" si="0"/>
        <v>0.0364004044489383</v>
      </c>
      <c r="I16" s="101">
        <f t="shared" si="1"/>
        <v>72</v>
      </c>
      <c r="J16" s="99">
        <v>1424</v>
      </c>
      <c r="K16" s="100">
        <f t="shared" si="2"/>
        <v>0.694634146341463</v>
      </c>
    </row>
    <row r="17" s="2" customFormat="1" ht="25" customHeight="1" spans="1:11">
      <c r="A17" s="84">
        <v>11</v>
      </c>
      <c r="B17" s="94" t="s">
        <v>74</v>
      </c>
      <c r="C17" s="95" t="s">
        <v>75</v>
      </c>
      <c r="D17" s="96">
        <v>1350</v>
      </c>
      <c r="E17" s="97">
        <v>1400</v>
      </c>
      <c r="F17" s="98">
        <v>-600</v>
      </c>
      <c r="G17" s="99">
        <f t="shared" si="3"/>
        <v>800</v>
      </c>
      <c r="H17" s="100">
        <f t="shared" si="0"/>
        <v>-0.407407407407407</v>
      </c>
      <c r="I17" s="101">
        <f t="shared" si="1"/>
        <v>-550</v>
      </c>
      <c r="J17" s="99">
        <v>546</v>
      </c>
      <c r="K17" s="100">
        <f t="shared" si="2"/>
        <v>0.6825</v>
      </c>
    </row>
    <row r="18" s="2" customFormat="1" ht="25" customHeight="1" spans="1:11">
      <c r="A18" s="84">
        <v>12</v>
      </c>
      <c r="B18" s="94">
        <v>10114</v>
      </c>
      <c r="C18" s="95" t="s">
        <v>76</v>
      </c>
      <c r="D18" s="96">
        <v>1958</v>
      </c>
      <c r="E18" s="97">
        <v>2000</v>
      </c>
      <c r="F18" s="98"/>
      <c r="G18" s="99">
        <f t="shared" si="3"/>
        <v>2000</v>
      </c>
      <c r="H18" s="100">
        <f t="shared" si="0"/>
        <v>0.0214504596527068</v>
      </c>
      <c r="I18" s="101">
        <f t="shared" si="1"/>
        <v>42</v>
      </c>
      <c r="J18" s="99">
        <v>1799</v>
      </c>
      <c r="K18" s="100">
        <f t="shared" si="2"/>
        <v>0.8995</v>
      </c>
    </row>
    <row r="19" s="2" customFormat="1" ht="25" customHeight="1" spans="1:11">
      <c r="A19" s="84">
        <v>13</v>
      </c>
      <c r="B19" s="94" t="s">
        <v>77</v>
      </c>
      <c r="C19" s="95" t="s">
        <v>78</v>
      </c>
      <c r="D19" s="96">
        <v>2358</v>
      </c>
      <c r="E19" s="97">
        <v>2700</v>
      </c>
      <c r="F19" s="98">
        <v>5000</v>
      </c>
      <c r="G19" s="99">
        <f t="shared" si="3"/>
        <v>7700</v>
      </c>
      <c r="H19" s="100">
        <f t="shared" si="0"/>
        <v>2.26547921967769</v>
      </c>
      <c r="I19" s="101">
        <f t="shared" si="1"/>
        <v>5342</v>
      </c>
      <c r="J19" s="99">
        <v>6055</v>
      </c>
      <c r="K19" s="100">
        <f t="shared" si="2"/>
        <v>0.786363636363636</v>
      </c>
    </row>
    <row r="20" s="2" customFormat="1" ht="25" customHeight="1" spans="1:11">
      <c r="A20" s="84">
        <v>14</v>
      </c>
      <c r="B20" s="94" t="s">
        <v>79</v>
      </c>
      <c r="C20" s="95" t="s">
        <v>80</v>
      </c>
      <c r="D20" s="96">
        <v>2778</v>
      </c>
      <c r="E20" s="97">
        <v>2820</v>
      </c>
      <c r="F20" s="98">
        <v>1800</v>
      </c>
      <c r="G20" s="99">
        <f t="shared" si="3"/>
        <v>4620</v>
      </c>
      <c r="H20" s="100">
        <f t="shared" si="0"/>
        <v>0.663066954643629</v>
      </c>
      <c r="I20" s="101">
        <f t="shared" si="1"/>
        <v>1842</v>
      </c>
      <c r="J20" s="99">
        <v>3955</v>
      </c>
      <c r="K20" s="100">
        <f t="shared" si="2"/>
        <v>0.856060606060606</v>
      </c>
    </row>
    <row r="21" s="2" customFormat="1" ht="25" customHeight="1" spans="1:11">
      <c r="A21" s="84">
        <v>15</v>
      </c>
      <c r="B21" s="94" t="s">
        <v>81</v>
      </c>
      <c r="C21" s="95" t="s">
        <v>82</v>
      </c>
      <c r="D21" s="96">
        <v>2615</v>
      </c>
      <c r="E21" s="102">
        <v>2680</v>
      </c>
      <c r="F21" s="98"/>
      <c r="G21" s="99">
        <f t="shared" si="3"/>
        <v>2680</v>
      </c>
      <c r="H21" s="100">
        <f t="shared" si="0"/>
        <v>0.0248565965583174</v>
      </c>
      <c r="I21" s="101">
        <f t="shared" si="1"/>
        <v>65</v>
      </c>
      <c r="J21" s="99">
        <v>1055</v>
      </c>
      <c r="K21" s="100">
        <f t="shared" si="2"/>
        <v>0.39365671641791</v>
      </c>
    </row>
    <row r="22" s="2" customFormat="1" ht="25" customHeight="1" spans="1:11">
      <c r="A22" s="84">
        <v>16</v>
      </c>
      <c r="B22" s="94">
        <v>10121</v>
      </c>
      <c r="C22" s="95" t="s">
        <v>83</v>
      </c>
      <c r="D22" s="96">
        <v>285</v>
      </c>
      <c r="E22" s="102">
        <v>290</v>
      </c>
      <c r="F22" s="98"/>
      <c r="G22" s="99">
        <f t="shared" si="3"/>
        <v>290</v>
      </c>
      <c r="H22" s="100">
        <f t="shared" si="0"/>
        <v>0.0175438596491228</v>
      </c>
      <c r="I22" s="101">
        <f t="shared" si="1"/>
        <v>5</v>
      </c>
      <c r="J22" s="99">
        <v>156</v>
      </c>
      <c r="K22" s="100">
        <f t="shared" si="2"/>
        <v>0.537931034482759</v>
      </c>
    </row>
    <row r="23" s="2" customFormat="1" ht="25" customHeight="1" spans="1:11">
      <c r="A23" s="84">
        <v>17</v>
      </c>
      <c r="B23" s="95">
        <v>10199</v>
      </c>
      <c r="C23" s="95" t="s">
        <v>84</v>
      </c>
      <c r="D23" s="96">
        <v>0</v>
      </c>
      <c r="E23" s="102">
        <v>0</v>
      </c>
      <c r="F23" s="98"/>
      <c r="G23" s="98">
        <v>0</v>
      </c>
      <c r="H23" s="98" t="e">
        <f t="shared" si="0"/>
        <v>#DIV/0!</v>
      </c>
      <c r="I23" s="98">
        <f t="shared" si="1"/>
        <v>0</v>
      </c>
      <c r="J23" s="98">
        <v>0</v>
      </c>
      <c r="K23" s="100" t="e">
        <f t="shared" si="2"/>
        <v>#DIV/0!</v>
      </c>
    </row>
    <row r="24" s="2" customFormat="1" ht="25" customHeight="1" spans="1:11">
      <c r="A24" s="84">
        <v>18</v>
      </c>
      <c r="B24" s="85" t="s">
        <v>85</v>
      </c>
      <c r="C24" s="86" t="s">
        <v>86</v>
      </c>
      <c r="D24" s="91">
        <f>D25+D30+D31+D32+D33+D35+D37+D38</f>
        <v>39283</v>
      </c>
      <c r="E24" s="91">
        <f>E25+E30+E31+E32+E33+E35+E37+E38</f>
        <v>40442</v>
      </c>
      <c r="F24" s="88">
        <f>G24-E24</f>
        <v>0</v>
      </c>
      <c r="G24" s="91">
        <f>G25+G30+G31+G32+G33+G35+G37+G38</f>
        <v>40442</v>
      </c>
      <c r="H24" s="89">
        <f t="shared" si="0"/>
        <v>0.0295038566300944</v>
      </c>
      <c r="I24" s="90">
        <f t="shared" si="1"/>
        <v>1159</v>
      </c>
      <c r="J24" s="91">
        <f>J25+J30+J31+J32+J33+J35+J37+J38</f>
        <v>33328</v>
      </c>
      <c r="K24" s="89">
        <f t="shared" si="2"/>
        <v>0.824093763908808</v>
      </c>
    </row>
    <row r="25" s="2" customFormat="1" ht="25" customHeight="1" spans="1:11">
      <c r="A25" s="84">
        <v>19</v>
      </c>
      <c r="B25" s="94" t="s">
        <v>87</v>
      </c>
      <c r="C25" s="95" t="s">
        <v>88</v>
      </c>
      <c r="D25" s="96">
        <v>4570</v>
      </c>
      <c r="E25" s="97">
        <v>4705</v>
      </c>
      <c r="F25" s="103">
        <v>-620</v>
      </c>
      <c r="G25" s="103">
        <f t="shared" ref="G25:G38" si="4">E25+F25</f>
        <v>4085</v>
      </c>
      <c r="H25" s="104">
        <f t="shared" si="0"/>
        <v>-0.106126914660832</v>
      </c>
      <c r="I25" s="105">
        <f t="shared" si="1"/>
        <v>-485</v>
      </c>
      <c r="J25" s="99">
        <v>2867</v>
      </c>
      <c r="K25" s="104">
        <f t="shared" si="2"/>
        <v>0.701835985312118</v>
      </c>
    </row>
    <row r="26" s="2" customFormat="1" ht="25" customHeight="1" spans="1:11">
      <c r="A26" s="84">
        <v>20</v>
      </c>
      <c r="B26" s="94">
        <v>103020301</v>
      </c>
      <c r="C26" s="95" t="s">
        <v>89</v>
      </c>
      <c r="D26" s="96">
        <v>2083</v>
      </c>
      <c r="E26" s="97">
        <v>2145</v>
      </c>
      <c r="F26" s="103"/>
      <c r="G26" s="103">
        <f t="shared" si="4"/>
        <v>2145</v>
      </c>
      <c r="H26" s="104">
        <f t="shared" si="0"/>
        <v>0.0297647623619779</v>
      </c>
      <c r="I26" s="105">
        <f t="shared" si="1"/>
        <v>62</v>
      </c>
      <c r="J26" s="99">
        <v>1512</v>
      </c>
      <c r="K26" s="104">
        <f t="shared" si="2"/>
        <v>0.704895104895105</v>
      </c>
    </row>
    <row r="27" s="2" customFormat="1" ht="25" customHeight="1" spans="1:11">
      <c r="A27" s="84">
        <v>21</v>
      </c>
      <c r="B27" s="94">
        <v>1030216</v>
      </c>
      <c r="C27" s="95" t="s">
        <v>90</v>
      </c>
      <c r="D27" s="96">
        <v>1389</v>
      </c>
      <c r="E27" s="97">
        <v>1430</v>
      </c>
      <c r="F27" s="103"/>
      <c r="G27" s="103">
        <f t="shared" si="4"/>
        <v>1430</v>
      </c>
      <c r="H27" s="104">
        <f t="shared" si="0"/>
        <v>0.0295176385889129</v>
      </c>
      <c r="I27" s="105">
        <f t="shared" si="1"/>
        <v>41</v>
      </c>
      <c r="J27" s="99">
        <v>1008</v>
      </c>
      <c r="K27" s="104">
        <f t="shared" si="2"/>
        <v>0.704895104895105</v>
      </c>
    </row>
    <row r="28" s="2" customFormat="1" ht="25" customHeight="1" spans="1:11">
      <c r="A28" s="84">
        <v>22</v>
      </c>
      <c r="B28" s="94">
        <v>1030218</v>
      </c>
      <c r="C28" s="95" t="s">
        <v>91</v>
      </c>
      <c r="D28" s="96">
        <v>1098</v>
      </c>
      <c r="E28" s="97">
        <v>1130</v>
      </c>
      <c r="F28" s="103">
        <v>-620</v>
      </c>
      <c r="G28" s="103">
        <f t="shared" si="4"/>
        <v>510</v>
      </c>
      <c r="H28" s="104">
        <f t="shared" si="0"/>
        <v>-0.53551912568306</v>
      </c>
      <c r="I28" s="105">
        <f t="shared" si="1"/>
        <v>-588</v>
      </c>
      <c r="J28" s="99">
        <v>347</v>
      </c>
      <c r="K28" s="104">
        <f t="shared" si="2"/>
        <v>0.680392156862745</v>
      </c>
    </row>
    <row r="29" s="2" customFormat="1" ht="25" customHeight="1" spans="1:11">
      <c r="A29" s="84">
        <v>23</v>
      </c>
      <c r="B29" s="94">
        <v>1030222</v>
      </c>
      <c r="C29" s="95" t="s">
        <v>92</v>
      </c>
      <c r="D29" s="96">
        <v>0</v>
      </c>
      <c r="E29" s="97">
        <v>0</v>
      </c>
      <c r="F29" s="103"/>
      <c r="G29" s="103">
        <f t="shared" si="4"/>
        <v>0</v>
      </c>
      <c r="H29" s="104" t="e">
        <f t="shared" si="0"/>
        <v>#DIV/0!</v>
      </c>
      <c r="I29" s="105">
        <f t="shared" si="1"/>
        <v>0</v>
      </c>
      <c r="J29" s="99">
        <v>0</v>
      </c>
      <c r="K29" s="104" t="e">
        <f t="shared" si="2"/>
        <v>#DIV/0!</v>
      </c>
    </row>
    <row r="30" s="2" customFormat="1" ht="25" customHeight="1" spans="1:11">
      <c r="A30" s="84">
        <v>24</v>
      </c>
      <c r="B30" s="94" t="s">
        <v>93</v>
      </c>
      <c r="C30" s="95" t="s">
        <v>94</v>
      </c>
      <c r="D30" s="96">
        <v>2908</v>
      </c>
      <c r="E30" s="97">
        <v>2994</v>
      </c>
      <c r="F30" s="103">
        <v>-800</v>
      </c>
      <c r="G30" s="103">
        <f t="shared" si="4"/>
        <v>2194</v>
      </c>
      <c r="H30" s="104">
        <f t="shared" si="0"/>
        <v>-0.245529573590096</v>
      </c>
      <c r="I30" s="105">
        <f t="shared" si="1"/>
        <v>-714</v>
      </c>
      <c r="J30" s="99">
        <v>1597</v>
      </c>
      <c r="K30" s="104">
        <f t="shared" si="2"/>
        <v>0.727894257064722</v>
      </c>
    </row>
    <row r="31" s="2" customFormat="1" ht="25" customHeight="1" spans="1:11">
      <c r="A31" s="84">
        <v>25</v>
      </c>
      <c r="B31" s="94" t="s">
        <v>95</v>
      </c>
      <c r="C31" s="95" t="s">
        <v>96</v>
      </c>
      <c r="D31" s="96">
        <v>9967</v>
      </c>
      <c r="E31" s="97">
        <v>10261</v>
      </c>
      <c r="F31" s="103">
        <v>-3600</v>
      </c>
      <c r="G31" s="103">
        <f t="shared" si="4"/>
        <v>6661</v>
      </c>
      <c r="H31" s="104">
        <f t="shared" si="0"/>
        <v>-0.331694592154109</v>
      </c>
      <c r="I31" s="105">
        <f t="shared" si="1"/>
        <v>-3306</v>
      </c>
      <c r="J31" s="99">
        <v>3605</v>
      </c>
      <c r="K31" s="104">
        <f t="shared" si="2"/>
        <v>0.541210028524246</v>
      </c>
    </row>
    <row r="32" s="2" customFormat="1" ht="25" customHeight="1" spans="1:11">
      <c r="A32" s="84">
        <v>26</v>
      </c>
      <c r="B32" s="94">
        <v>10306</v>
      </c>
      <c r="C32" s="95" t="s">
        <v>97</v>
      </c>
      <c r="D32" s="96">
        <v>5</v>
      </c>
      <c r="E32" s="97">
        <v>5</v>
      </c>
      <c r="F32" s="103">
        <v>22100</v>
      </c>
      <c r="G32" s="103">
        <f t="shared" si="4"/>
        <v>22105</v>
      </c>
      <c r="H32" s="104">
        <f t="shared" si="0"/>
        <v>4420</v>
      </c>
      <c r="I32" s="105">
        <f t="shared" si="1"/>
        <v>22100</v>
      </c>
      <c r="J32" s="99">
        <v>21100</v>
      </c>
      <c r="K32" s="104">
        <f t="shared" si="2"/>
        <v>0.954535173037774</v>
      </c>
    </row>
    <row r="33" s="2" customFormat="1" ht="25" customHeight="1" spans="1:11">
      <c r="A33" s="84">
        <v>27</v>
      </c>
      <c r="B33" s="94" t="s">
        <v>98</v>
      </c>
      <c r="C33" s="95" t="s">
        <v>99</v>
      </c>
      <c r="D33" s="96">
        <v>21075</v>
      </c>
      <c r="E33" s="97">
        <v>21697</v>
      </c>
      <c r="F33" s="103">
        <v>-16600</v>
      </c>
      <c r="G33" s="103">
        <f t="shared" si="4"/>
        <v>5097</v>
      </c>
      <c r="H33" s="104">
        <f t="shared" si="0"/>
        <v>-0.758149466192171</v>
      </c>
      <c r="I33" s="105">
        <f t="shared" si="1"/>
        <v>-15978</v>
      </c>
      <c r="J33" s="99">
        <v>3985</v>
      </c>
      <c r="K33" s="104">
        <f t="shared" si="2"/>
        <v>0.781832450461056</v>
      </c>
    </row>
    <row r="34" s="2" customFormat="1" ht="25" customHeight="1" spans="1:11">
      <c r="A34" s="84">
        <v>28</v>
      </c>
      <c r="B34" s="94">
        <v>103071404</v>
      </c>
      <c r="C34" s="95" t="s">
        <v>100</v>
      </c>
      <c r="D34" s="96">
        <v>1009</v>
      </c>
      <c r="E34" s="97">
        <v>1200</v>
      </c>
      <c r="F34" s="103"/>
      <c r="G34" s="103">
        <f t="shared" si="4"/>
        <v>1200</v>
      </c>
      <c r="H34" s="104">
        <f t="shared" si="0"/>
        <v>0.189296333002973</v>
      </c>
      <c r="I34" s="105">
        <f t="shared" si="1"/>
        <v>191</v>
      </c>
      <c r="J34" s="99">
        <v>788</v>
      </c>
      <c r="K34" s="104">
        <f t="shared" si="2"/>
        <v>0.656666666666667</v>
      </c>
    </row>
    <row r="35" s="2" customFormat="1" ht="25" customHeight="1" spans="1:11">
      <c r="A35" s="84">
        <v>29</v>
      </c>
      <c r="B35" s="94">
        <v>10308</v>
      </c>
      <c r="C35" s="95" t="s">
        <v>101</v>
      </c>
      <c r="D35" s="96">
        <v>0</v>
      </c>
      <c r="E35" s="97">
        <v>0</v>
      </c>
      <c r="F35" s="103"/>
      <c r="G35" s="103">
        <f t="shared" si="4"/>
        <v>0</v>
      </c>
      <c r="H35" s="104" t="e">
        <f t="shared" si="0"/>
        <v>#DIV/0!</v>
      </c>
      <c r="I35" s="105">
        <f t="shared" si="1"/>
        <v>0</v>
      </c>
      <c r="J35" s="99">
        <v>0</v>
      </c>
      <c r="K35" s="104" t="e">
        <f t="shared" si="2"/>
        <v>#DIV/0!</v>
      </c>
    </row>
    <row r="36" s="2" customFormat="1" ht="25" customHeight="1" spans="1:11">
      <c r="A36" s="84">
        <v>30</v>
      </c>
      <c r="B36" s="94">
        <v>1030802</v>
      </c>
      <c r="C36" s="95" t="s">
        <v>102</v>
      </c>
      <c r="D36" s="96">
        <v>0</v>
      </c>
      <c r="E36" s="97">
        <v>0</v>
      </c>
      <c r="F36" s="103"/>
      <c r="G36" s="103">
        <f t="shared" si="4"/>
        <v>0</v>
      </c>
      <c r="H36" s="104" t="e">
        <f t="shared" si="0"/>
        <v>#DIV/0!</v>
      </c>
      <c r="I36" s="105">
        <f t="shared" si="1"/>
        <v>0</v>
      </c>
      <c r="J36" s="99">
        <v>0</v>
      </c>
      <c r="K36" s="104" t="e">
        <f t="shared" si="2"/>
        <v>#DIV/0!</v>
      </c>
    </row>
    <row r="37" s="2" customFormat="1" ht="25" customHeight="1" spans="1:11">
      <c r="A37" s="84">
        <v>31</v>
      </c>
      <c r="B37" s="94">
        <v>10309</v>
      </c>
      <c r="C37" s="95" t="s">
        <v>103</v>
      </c>
      <c r="D37" s="96">
        <v>248</v>
      </c>
      <c r="E37" s="102">
        <v>255</v>
      </c>
      <c r="F37" s="103"/>
      <c r="G37" s="103">
        <f t="shared" si="4"/>
        <v>255</v>
      </c>
      <c r="H37" s="104">
        <f t="shared" si="0"/>
        <v>0.0282258064516129</v>
      </c>
      <c r="I37" s="105">
        <f t="shared" si="1"/>
        <v>7</v>
      </c>
      <c r="J37" s="99">
        <v>145</v>
      </c>
      <c r="K37" s="104">
        <f t="shared" si="2"/>
        <v>0.568627450980392</v>
      </c>
    </row>
    <row r="38" s="2" customFormat="1" ht="25" customHeight="1" spans="1:11">
      <c r="A38" s="84">
        <v>32</v>
      </c>
      <c r="B38" s="94" t="s">
        <v>104</v>
      </c>
      <c r="C38" s="95" t="s">
        <v>105</v>
      </c>
      <c r="D38" s="96">
        <v>510</v>
      </c>
      <c r="E38" s="102">
        <v>525</v>
      </c>
      <c r="F38" s="103">
        <v>-480</v>
      </c>
      <c r="G38" s="103">
        <f t="shared" si="4"/>
        <v>45</v>
      </c>
      <c r="H38" s="104">
        <f t="shared" si="0"/>
        <v>-0.911764705882353</v>
      </c>
      <c r="I38" s="105">
        <f t="shared" si="1"/>
        <v>-465</v>
      </c>
      <c r="J38" s="99">
        <v>29</v>
      </c>
      <c r="K38" s="104">
        <f t="shared" si="2"/>
        <v>0.644444444444444</v>
      </c>
    </row>
    <row r="39" s="66" customFormat="1" ht="25" customHeight="1" spans="1:11">
      <c r="A39" s="84">
        <v>33</v>
      </c>
      <c r="B39" s="106" t="s">
        <v>106</v>
      </c>
      <c r="C39" s="107" t="s">
        <v>107</v>
      </c>
      <c r="D39" s="93">
        <f>D8+D25+D34</f>
        <v>135656</v>
      </c>
      <c r="E39" s="93">
        <f>E8+E25+E34</f>
        <v>139905</v>
      </c>
      <c r="F39" s="93">
        <f>F8+F25+F34</f>
        <v>-620</v>
      </c>
      <c r="G39" s="93">
        <f>G8+G25+G34</f>
        <v>139285</v>
      </c>
      <c r="H39" s="89">
        <f t="shared" si="0"/>
        <v>0.026751489060565</v>
      </c>
      <c r="I39" s="93">
        <f>I8+I25+I34</f>
        <v>3629</v>
      </c>
      <c r="J39" s="93">
        <f>J8+J25+J34</f>
        <v>102077</v>
      </c>
      <c r="K39" s="108">
        <f>K8+K26+K27+K28+K34</f>
        <v>3.48134157063305</v>
      </c>
    </row>
    <row r="40" s="66" customFormat="1" ht="25" customHeight="1" spans="1:11">
      <c r="A40" s="84">
        <v>34</v>
      </c>
      <c r="B40" s="106"/>
      <c r="C40" s="107" t="s">
        <v>108</v>
      </c>
      <c r="D40" s="93">
        <f>D7-D39</f>
        <v>33704</v>
      </c>
      <c r="E40" s="93">
        <f>E7-E39</f>
        <v>34537</v>
      </c>
      <c r="F40" s="93">
        <f>F7-F39</f>
        <v>620</v>
      </c>
      <c r="G40" s="93">
        <f>G7-G39</f>
        <v>35157</v>
      </c>
      <c r="H40" s="89">
        <f t="shared" si="0"/>
        <v>0.0431106100166152</v>
      </c>
      <c r="I40" s="93">
        <f>I7-I39</f>
        <v>1453</v>
      </c>
      <c r="J40" s="93">
        <f>J7-J39</f>
        <v>29673</v>
      </c>
      <c r="K40" s="89">
        <f>J40/G40</f>
        <v>0.84401399436812</v>
      </c>
    </row>
  </sheetData>
  <mergeCells count="16">
    <mergeCell ref="A1:B1"/>
    <mergeCell ref="A2:K2"/>
    <mergeCell ref="A3:C3"/>
    <mergeCell ref="J3:K3"/>
    <mergeCell ref="H4:I4"/>
    <mergeCell ref="A6:B6"/>
    <mergeCell ref="A4:A5"/>
    <mergeCell ref="B4:B5"/>
    <mergeCell ref="B39:B40"/>
    <mergeCell ref="C4:C5"/>
    <mergeCell ref="D4:D5"/>
    <mergeCell ref="E4:E5"/>
    <mergeCell ref="F4:F5"/>
    <mergeCell ref="G4:G5"/>
    <mergeCell ref="J4:J5"/>
    <mergeCell ref="K4:K5"/>
  </mergeCells>
  <dataValidations count="1">
    <dataValidation type="decimal" operator="between" allowBlank="1" showInputMessage="1" showErrorMessage="1" sqref="D23">
      <formula1>-99999999999999</formula1>
      <formula2>99999999999999</formula2>
    </dataValidation>
  </dataValidations>
  <printOptions horizontalCentered="1" verticalCentered="1"/>
  <pageMargins left="0.511805555555556" right="0.393055555555556" top="0.472222222222222" bottom="0.590277777777778" header="0.298611111111111" footer="0.354166666666667"/>
  <pageSetup paperSize="9" scale="87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8"/>
  <sheetViews>
    <sheetView topLeftCell="A456" workbookViewId="0">
      <selection activeCell="E481" sqref="E481"/>
    </sheetView>
  </sheetViews>
  <sheetFormatPr defaultColWidth="9" defaultRowHeight="13.5" outlineLevelCol="5"/>
  <cols>
    <col min="1" max="1" width="17.875" style="34" customWidth="1"/>
    <col min="2" max="2" width="38.875" style="35" customWidth="1"/>
    <col min="3" max="3" width="13.625" style="36" customWidth="1"/>
    <col min="4" max="4" width="16.625" style="36" customWidth="1"/>
    <col min="5" max="5" width="13" style="34" customWidth="1"/>
    <col min="6" max="6" width="20.625" style="34" customWidth="1"/>
    <col min="7" max="16384" width="9" style="34"/>
  </cols>
  <sheetData>
    <row r="1" s="32" customFormat="1" ht="25" customHeight="1" spans="1:6">
      <c r="A1" s="3" t="s">
        <v>109</v>
      </c>
      <c r="B1" s="37" t="s">
        <v>1</v>
      </c>
      <c r="C1" s="38" t="s">
        <v>1</v>
      </c>
      <c r="D1" s="38" t="s">
        <v>1</v>
      </c>
      <c r="E1" s="38" t="s">
        <v>1</v>
      </c>
      <c r="F1" s="37" t="s">
        <v>1</v>
      </c>
    </row>
    <row r="2" s="33" customFormat="1" ht="35" customHeight="1" spans="1:6">
      <c r="A2" s="39" t="s">
        <v>110</v>
      </c>
      <c r="B2" s="39"/>
      <c r="C2" s="40"/>
      <c r="D2" s="40"/>
      <c r="E2" s="40"/>
      <c r="F2" s="39"/>
    </row>
    <row r="3" s="32" customFormat="1" ht="15" customHeight="1" spans="1:6">
      <c r="A3" s="41" t="s">
        <v>3</v>
      </c>
      <c r="B3" s="41"/>
      <c r="C3" s="42" t="s">
        <v>1</v>
      </c>
      <c r="D3" s="42" t="s">
        <v>1</v>
      </c>
      <c r="E3" s="43" t="s">
        <v>1</v>
      </c>
      <c r="F3" s="44" t="s">
        <v>4</v>
      </c>
    </row>
    <row r="4" s="2" customFormat="1" ht="38" customHeight="1" spans="1:6">
      <c r="A4" s="12" t="s">
        <v>42</v>
      </c>
      <c r="B4" s="12" t="s">
        <v>43</v>
      </c>
      <c r="C4" s="45" t="s">
        <v>9</v>
      </c>
      <c r="D4" s="45" t="s">
        <v>111</v>
      </c>
      <c r="E4" s="45" t="s">
        <v>112</v>
      </c>
      <c r="F4" s="46" t="s">
        <v>7</v>
      </c>
    </row>
    <row r="5" s="2" customFormat="1" ht="18" customHeight="1" spans="1:6">
      <c r="A5" s="47" t="s">
        <v>1</v>
      </c>
      <c r="B5" s="48">
        <v>1</v>
      </c>
      <c r="C5" s="49">
        <v>2</v>
      </c>
      <c r="D5" s="49">
        <v>3</v>
      </c>
      <c r="E5" s="49" t="s">
        <v>113</v>
      </c>
      <c r="F5" s="50">
        <v>5</v>
      </c>
    </row>
    <row r="6" s="2" customFormat="1" ht="18" customHeight="1" spans="1:6">
      <c r="A6" s="51" t="s">
        <v>114</v>
      </c>
      <c r="B6" s="52"/>
      <c r="C6" s="53">
        <v>390656.55682</v>
      </c>
      <c r="D6" s="54">
        <f>D7+D116+D122+D145+D166+D177+D196+D270+D314+D338+D350+D403+D410+D419+D425+D428+D443+D431+D452+D459+D478+D479+D482+D486</f>
        <v>24029.146346</v>
      </c>
      <c r="E6" s="54">
        <f>E7+E116+E122+E145+E166+E177+E196+E270+E314+E338+E350+E403+E410+E419+E425+E428+E443+E431+E452+E459+E478+E479+E482+E486</f>
        <v>414686.363166</v>
      </c>
      <c r="F6" s="55"/>
    </row>
    <row r="7" s="34" customFormat="1" ht="18.75" spans="1:6">
      <c r="A7" s="56">
        <v>201</v>
      </c>
      <c r="B7" s="57" t="s">
        <v>115</v>
      </c>
      <c r="C7" s="58">
        <v>51440.5172</v>
      </c>
      <c r="D7" s="59">
        <f>15732.492134-5443.2-3480+32+2401+160+148</f>
        <v>9550.292134</v>
      </c>
      <c r="E7" s="59">
        <f>C7+D7</f>
        <v>60990.809334</v>
      </c>
      <c r="F7" s="60"/>
    </row>
    <row r="8" s="34" customFormat="1" ht="18.75" spans="1:6">
      <c r="A8" s="56">
        <v>20101</v>
      </c>
      <c r="B8" s="57" t="s">
        <v>116</v>
      </c>
      <c r="C8" s="58">
        <v>950.31</v>
      </c>
      <c r="D8" s="59">
        <f>-26.0680839999999+32</f>
        <v>5.9319160000001</v>
      </c>
      <c r="E8" s="59">
        <f t="shared" ref="E8:E71" si="0">C8+D8</f>
        <v>956.241916</v>
      </c>
      <c r="F8" s="60"/>
    </row>
    <row r="9" s="34" customFormat="1" ht="18.75" spans="1:6">
      <c r="A9" s="61">
        <v>2010101</v>
      </c>
      <c r="B9" s="57" t="s">
        <v>117</v>
      </c>
      <c r="C9" s="58">
        <v>718.81</v>
      </c>
      <c r="D9" s="59">
        <f>-37.1974339999999+32</f>
        <v>-5.1974339999999</v>
      </c>
      <c r="E9" s="59">
        <f t="shared" si="0"/>
        <v>713.612566</v>
      </c>
      <c r="F9" s="60"/>
    </row>
    <row r="10" s="34" customFormat="1" ht="18.75" spans="1:6">
      <c r="A10" s="61">
        <v>2010102</v>
      </c>
      <c r="B10" s="57" t="s">
        <v>118</v>
      </c>
      <c r="C10" s="58">
        <v>6.3</v>
      </c>
      <c r="D10" s="59">
        <v>6.1783</v>
      </c>
      <c r="E10" s="59">
        <f t="shared" si="0"/>
        <v>12.4783</v>
      </c>
      <c r="F10" s="60"/>
    </row>
    <row r="11" s="34" customFormat="1" ht="18.75" spans="1:6">
      <c r="A11" s="61">
        <v>2010103</v>
      </c>
      <c r="B11" s="57" t="s">
        <v>119</v>
      </c>
      <c r="C11" s="58">
        <v>1.2</v>
      </c>
      <c r="D11" s="59">
        <v>0</v>
      </c>
      <c r="E11" s="59">
        <f t="shared" si="0"/>
        <v>1.2</v>
      </c>
      <c r="F11" s="60"/>
    </row>
    <row r="12" s="34" customFormat="1" ht="18.75" spans="1:6">
      <c r="A12" s="61">
        <v>2010104</v>
      </c>
      <c r="B12" s="57" t="s">
        <v>120</v>
      </c>
      <c r="C12" s="58">
        <v>35</v>
      </c>
      <c r="D12" s="59">
        <v>0</v>
      </c>
      <c r="E12" s="59">
        <f t="shared" si="0"/>
        <v>35</v>
      </c>
      <c r="F12" s="60"/>
    </row>
    <row r="13" s="34" customFormat="1" ht="18.75" spans="1:6">
      <c r="A13" s="61">
        <v>2010106</v>
      </c>
      <c r="B13" s="57" t="s">
        <v>121</v>
      </c>
      <c r="C13" s="58">
        <v>25</v>
      </c>
      <c r="D13" s="59">
        <v>0</v>
      </c>
      <c r="E13" s="59">
        <f t="shared" si="0"/>
        <v>25</v>
      </c>
      <c r="F13" s="60"/>
    </row>
    <row r="14" s="34" customFormat="1" ht="18.75" spans="1:6">
      <c r="A14" s="61">
        <v>2010107</v>
      </c>
      <c r="B14" s="57" t="s">
        <v>122</v>
      </c>
      <c r="C14" s="58">
        <v>12</v>
      </c>
      <c r="D14" s="59">
        <v>0</v>
      </c>
      <c r="E14" s="59">
        <f t="shared" si="0"/>
        <v>12</v>
      </c>
      <c r="F14" s="60"/>
    </row>
    <row r="15" s="34" customFormat="1" ht="18.75" spans="1:6">
      <c r="A15" s="61">
        <v>2010108</v>
      </c>
      <c r="B15" s="57" t="s">
        <v>123</v>
      </c>
      <c r="C15" s="58">
        <v>5</v>
      </c>
      <c r="D15" s="59">
        <v>8.76</v>
      </c>
      <c r="E15" s="59">
        <f t="shared" si="0"/>
        <v>13.76</v>
      </c>
      <c r="F15" s="60"/>
    </row>
    <row r="16" s="34" customFormat="1" ht="18.75" spans="1:6">
      <c r="A16" s="61">
        <v>2010199</v>
      </c>
      <c r="B16" s="57" t="s">
        <v>124</v>
      </c>
      <c r="C16" s="58">
        <v>147</v>
      </c>
      <c r="D16" s="59">
        <v>-3.80895000000001</v>
      </c>
      <c r="E16" s="59">
        <f t="shared" si="0"/>
        <v>143.19105</v>
      </c>
      <c r="F16" s="60"/>
    </row>
    <row r="17" s="34" customFormat="1" ht="18.75" spans="1:6">
      <c r="A17" s="56">
        <v>20102</v>
      </c>
      <c r="B17" s="57" t="s">
        <v>125</v>
      </c>
      <c r="C17" s="58">
        <v>628.13</v>
      </c>
      <c r="D17" s="59">
        <v>35.4387</v>
      </c>
      <c r="E17" s="59">
        <f t="shared" si="0"/>
        <v>663.5687</v>
      </c>
      <c r="F17" s="60"/>
    </row>
    <row r="18" s="34" customFormat="1" ht="18.75" spans="1:6">
      <c r="A18" s="61">
        <v>2010201</v>
      </c>
      <c r="B18" s="57" t="s">
        <v>117</v>
      </c>
      <c r="C18" s="58">
        <v>561.13</v>
      </c>
      <c r="D18" s="59">
        <v>34.3200000000001</v>
      </c>
      <c r="E18" s="59">
        <f t="shared" si="0"/>
        <v>595.45</v>
      </c>
      <c r="F18" s="60"/>
    </row>
    <row r="19" s="34" customFormat="1" ht="18.75" spans="1:6">
      <c r="A19" s="61">
        <v>2010204</v>
      </c>
      <c r="B19" s="57" t="s">
        <v>126</v>
      </c>
      <c r="C19" s="58">
        <v>30</v>
      </c>
      <c r="D19" s="59">
        <v>0</v>
      </c>
      <c r="E19" s="59">
        <f t="shared" si="0"/>
        <v>30</v>
      </c>
      <c r="F19" s="60"/>
    </row>
    <row r="20" s="34" customFormat="1" ht="18.75" spans="1:6">
      <c r="A20" s="61">
        <v>2010205</v>
      </c>
      <c r="B20" s="57" t="s">
        <v>127</v>
      </c>
      <c r="C20" s="58">
        <v>29</v>
      </c>
      <c r="D20" s="59">
        <v>0</v>
      </c>
      <c r="E20" s="59">
        <f t="shared" si="0"/>
        <v>29</v>
      </c>
      <c r="F20" s="60"/>
    </row>
    <row r="21" s="34" customFormat="1" ht="18.75" spans="1:6">
      <c r="A21" s="61">
        <v>2010299</v>
      </c>
      <c r="B21" s="57" t="s">
        <v>128</v>
      </c>
      <c r="C21" s="58">
        <v>8</v>
      </c>
      <c r="D21" s="59">
        <v>1.1187</v>
      </c>
      <c r="E21" s="59">
        <f t="shared" si="0"/>
        <v>9.1187</v>
      </c>
      <c r="F21" s="60"/>
    </row>
    <row r="22" s="34" customFormat="1" ht="18.75" spans="1:6">
      <c r="A22" s="56">
        <v>20103</v>
      </c>
      <c r="B22" s="57" t="s">
        <v>129</v>
      </c>
      <c r="C22" s="58">
        <v>17123.57</v>
      </c>
      <c r="D22" s="59">
        <f>3051.671913+80+106</f>
        <v>3237.671913</v>
      </c>
      <c r="E22" s="59">
        <f t="shared" si="0"/>
        <v>20361.241913</v>
      </c>
      <c r="F22" s="60"/>
    </row>
    <row r="23" s="34" customFormat="1" ht="18.75" spans="1:6">
      <c r="A23" s="61">
        <v>2010301</v>
      </c>
      <c r="B23" s="57" t="s">
        <v>117</v>
      </c>
      <c r="C23" s="58">
        <v>11646.42</v>
      </c>
      <c r="D23" s="59">
        <f>2808.933833+80</f>
        <v>2888.933833</v>
      </c>
      <c r="E23" s="59">
        <f t="shared" si="0"/>
        <v>14535.353833</v>
      </c>
      <c r="F23" s="60"/>
    </row>
    <row r="24" s="34" customFormat="1" ht="18.75" spans="1:6">
      <c r="A24" s="61">
        <v>2010302</v>
      </c>
      <c r="B24" s="57" t="s">
        <v>118</v>
      </c>
      <c r="C24" s="58">
        <v>159.48</v>
      </c>
      <c r="D24" s="59">
        <v>0.457300000000004</v>
      </c>
      <c r="E24" s="59">
        <f t="shared" si="0"/>
        <v>159.9373</v>
      </c>
      <c r="F24" s="60"/>
    </row>
    <row r="25" s="34" customFormat="1" ht="18.75" spans="1:6">
      <c r="A25" s="61">
        <v>2010350</v>
      </c>
      <c r="B25" s="57" t="s">
        <v>130</v>
      </c>
      <c r="C25" s="58">
        <v>2241.2</v>
      </c>
      <c r="D25" s="59">
        <v>44.5787800000003</v>
      </c>
      <c r="E25" s="59">
        <f t="shared" si="0"/>
        <v>2285.77878</v>
      </c>
      <c r="F25" s="60"/>
    </row>
    <row r="26" s="34" customFormat="1" ht="37.5" spans="1:6">
      <c r="A26" s="61">
        <v>2010399</v>
      </c>
      <c r="B26" s="57" t="s">
        <v>131</v>
      </c>
      <c r="C26" s="58">
        <v>3076.47</v>
      </c>
      <c r="D26" s="59">
        <f>197.702+106</f>
        <v>303.702</v>
      </c>
      <c r="E26" s="59">
        <f t="shared" si="0"/>
        <v>3380.172</v>
      </c>
      <c r="F26" s="60"/>
    </row>
    <row r="27" s="34" customFormat="1" ht="18.75" spans="1:6">
      <c r="A27" s="56">
        <v>20104</v>
      </c>
      <c r="B27" s="57" t="s">
        <v>132</v>
      </c>
      <c r="C27" s="58">
        <v>2597.44</v>
      </c>
      <c r="D27" s="59">
        <v>151.322632</v>
      </c>
      <c r="E27" s="59">
        <f t="shared" si="0"/>
        <v>2748.762632</v>
      </c>
      <c r="F27" s="60"/>
    </row>
    <row r="28" s="34" customFormat="1" ht="18.75" spans="1:6">
      <c r="A28" s="61">
        <v>2010401</v>
      </c>
      <c r="B28" s="57" t="s">
        <v>117</v>
      </c>
      <c r="C28" s="58">
        <v>1076.74</v>
      </c>
      <c r="D28" s="59">
        <v>104.98268</v>
      </c>
      <c r="E28" s="59">
        <f t="shared" si="0"/>
        <v>1181.72268</v>
      </c>
      <c r="F28" s="60"/>
    </row>
    <row r="29" s="34" customFormat="1" ht="18.75" spans="1:6">
      <c r="A29" s="61">
        <v>2010404</v>
      </c>
      <c r="B29" s="57" t="s">
        <v>133</v>
      </c>
      <c r="C29" s="58">
        <v>400</v>
      </c>
      <c r="D29" s="59">
        <v>0</v>
      </c>
      <c r="E29" s="59">
        <f t="shared" si="0"/>
        <v>400</v>
      </c>
      <c r="F29" s="60"/>
    </row>
    <row r="30" s="34" customFormat="1" ht="18.75" spans="1:6">
      <c r="A30" s="61">
        <v>2010406</v>
      </c>
      <c r="B30" s="57" t="s">
        <v>134</v>
      </c>
      <c r="C30" s="58">
        <v>0</v>
      </c>
      <c r="D30" s="59">
        <v>266</v>
      </c>
      <c r="E30" s="59">
        <f t="shared" si="0"/>
        <v>266</v>
      </c>
      <c r="F30" s="60"/>
    </row>
    <row r="31" s="34" customFormat="1" ht="18.75" spans="1:6">
      <c r="A31" s="61">
        <v>2010408</v>
      </c>
      <c r="B31" s="57" t="s">
        <v>135</v>
      </c>
      <c r="C31" s="58">
        <v>10</v>
      </c>
      <c r="D31" s="59">
        <v>0</v>
      </c>
      <c r="E31" s="59">
        <f t="shared" si="0"/>
        <v>10</v>
      </c>
      <c r="F31" s="60"/>
    </row>
    <row r="32" s="34" customFormat="1" ht="18.75" spans="1:6">
      <c r="A32" s="61">
        <v>2010499</v>
      </c>
      <c r="B32" s="57" t="s">
        <v>136</v>
      </c>
      <c r="C32" s="58">
        <v>1110.7</v>
      </c>
      <c r="D32" s="59">
        <v>-219.660048</v>
      </c>
      <c r="E32" s="59">
        <f t="shared" si="0"/>
        <v>891.039952</v>
      </c>
      <c r="F32" s="60"/>
    </row>
    <row r="33" s="34" customFormat="1" ht="18.75" spans="1:6">
      <c r="A33" s="56">
        <v>20105</v>
      </c>
      <c r="B33" s="57" t="s">
        <v>137</v>
      </c>
      <c r="C33" s="58">
        <v>917.72</v>
      </c>
      <c r="D33" s="59">
        <v>48.664</v>
      </c>
      <c r="E33" s="59">
        <f t="shared" si="0"/>
        <v>966.384</v>
      </c>
      <c r="F33" s="60"/>
    </row>
    <row r="34" s="34" customFormat="1" ht="18.75" spans="1:6">
      <c r="A34" s="61">
        <v>2010501</v>
      </c>
      <c r="B34" s="57" t="s">
        <v>117</v>
      </c>
      <c r="C34" s="58">
        <v>449.98</v>
      </c>
      <c r="D34" s="59">
        <v>45.984</v>
      </c>
      <c r="E34" s="59">
        <f t="shared" si="0"/>
        <v>495.964</v>
      </c>
      <c r="F34" s="60"/>
    </row>
    <row r="35" s="34" customFormat="1" ht="18.75" spans="1:6">
      <c r="A35" s="61">
        <v>2010505</v>
      </c>
      <c r="B35" s="57" t="s">
        <v>138</v>
      </c>
      <c r="C35" s="58">
        <v>84.38</v>
      </c>
      <c r="D35" s="59">
        <v>2.68000000000001</v>
      </c>
      <c r="E35" s="59">
        <f t="shared" si="0"/>
        <v>87.06</v>
      </c>
      <c r="F35" s="60"/>
    </row>
    <row r="36" s="34" customFormat="1" ht="18.75" spans="1:6">
      <c r="A36" s="61">
        <v>2010507</v>
      </c>
      <c r="B36" s="57" t="s">
        <v>139</v>
      </c>
      <c r="C36" s="58">
        <v>280</v>
      </c>
      <c r="D36" s="59">
        <v>0</v>
      </c>
      <c r="E36" s="59">
        <f t="shared" si="0"/>
        <v>280</v>
      </c>
      <c r="F36" s="60"/>
    </row>
    <row r="37" s="34" customFormat="1" ht="18.75" spans="1:6">
      <c r="A37" s="61">
        <v>2010508</v>
      </c>
      <c r="B37" s="57" t="s">
        <v>140</v>
      </c>
      <c r="C37" s="58">
        <v>103.36</v>
      </c>
      <c r="D37" s="59">
        <v>0</v>
      </c>
      <c r="E37" s="59">
        <f t="shared" si="0"/>
        <v>103.36</v>
      </c>
      <c r="F37" s="60"/>
    </row>
    <row r="38" s="34" customFormat="1" ht="18.75" spans="1:6">
      <c r="A38" s="56">
        <v>20106</v>
      </c>
      <c r="B38" s="57" t="s">
        <v>141</v>
      </c>
      <c r="C38" s="58">
        <v>2298.94</v>
      </c>
      <c r="D38" s="59">
        <v>170.3319</v>
      </c>
      <c r="E38" s="59">
        <f t="shared" si="0"/>
        <v>2469.2719</v>
      </c>
      <c r="F38" s="60"/>
    </row>
    <row r="39" s="34" customFormat="1" ht="18.75" spans="1:6">
      <c r="A39" s="61">
        <v>2010601</v>
      </c>
      <c r="B39" s="57" t="s">
        <v>117</v>
      </c>
      <c r="C39" s="58">
        <v>1126</v>
      </c>
      <c r="D39" s="59">
        <v>181.7117</v>
      </c>
      <c r="E39" s="59">
        <f t="shared" si="0"/>
        <v>1307.7117</v>
      </c>
      <c r="F39" s="60"/>
    </row>
    <row r="40" s="34" customFormat="1" ht="18.75" spans="1:6">
      <c r="A40" s="61">
        <v>2010602</v>
      </c>
      <c r="B40" s="57" t="s">
        <v>118</v>
      </c>
      <c r="C40" s="58">
        <v>16.19</v>
      </c>
      <c r="D40" s="59">
        <v>-2.24</v>
      </c>
      <c r="E40" s="59">
        <f t="shared" si="0"/>
        <v>13.95</v>
      </c>
      <c r="F40" s="60"/>
    </row>
    <row r="41" s="34" customFormat="1" ht="18.75" spans="1:6">
      <c r="A41" s="61">
        <v>2010607</v>
      </c>
      <c r="B41" s="57" t="s">
        <v>142</v>
      </c>
      <c r="C41" s="58">
        <v>85</v>
      </c>
      <c r="D41" s="59">
        <v>0</v>
      </c>
      <c r="E41" s="59">
        <f t="shared" si="0"/>
        <v>85</v>
      </c>
      <c r="F41" s="60"/>
    </row>
    <row r="42" s="34" customFormat="1" ht="18.75" spans="1:6">
      <c r="A42" s="61">
        <v>2010650</v>
      </c>
      <c r="B42" s="57" t="s">
        <v>130</v>
      </c>
      <c r="C42" s="58">
        <v>606.74</v>
      </c>
      <c r="D42" s="59">
        <v>-9.12980000000005</v>
      </c>
      <c r="E42" s="59">
        <f t="shared" si="0"/>
        <v>597.6102</v>
      </c>
      <c r="F42" s="60"/>
    </row>
    <row r="43" s="34" customFormat="1" ht="18.75" spans="1:6">
      <c r="A43" s="61">
        <v>2010699</v>
      </c>
      <c r="B43" s="57" t="s">
        <v>143</v>
      </c>
      <c r="C43" s="58">
        <v>465</v>
      </c>
      <c r="D43" s="59">
        <v>0</v>
      </c>
      <c r="E43" s="59">
        <f t="shared" si="0"/>
        <v>465</v>
      </c>
      <c r="F43" s="60"/>
    </row>
    <row r="44" s="34" customFormat="1" ht="18.75" spans="1:6">
      <c r="A44" s="56">
        <v>20107</v>
      </c>
      <c r="B44" s="57" t="s">
        <v>144</v>
      </c>
      <c r="C44" s="58">
        <v>689</v>
      </c>
      <c r="D44" s="59">
        <v>0</v>
      </c>
      <c r="E44" s="59">
        <f t="shared" si="0"/>
        <v>689</v>
      </c>
      <c r="F44" s="60"/>
    </row>
    <row r="45" s="34" customFormat="1" ht="18.75" spans="1:6">
      <c r="A45" s="61">
        <v>2010701</v>
      </c>
      <c r="B45" s="57" t="s">
        <v>117</v>
      </c>
      <c r="C45" s="58">
        <v>689</v>
      </c>
      <c r="D45" s="59">
        <v>0</v>
      </c>
      <c r="E45" s="59">
        <f t="shared" si="0"/>
        <v>689</v>
      </c>
      <c r="F45" s="60"/>
    </row>
    <row r="46" s="34" customFormat="1" ht="18.75" spans="1:6">
      <c r="A46" s="56">
        <v>20111</v>
      </c>
      <c r="B46" s="57" t="s">
        <v>145</v>
      </c>
      <c r="C46" s="58">
        <v>4952</v>
      </c>
      <c r="D46" s="59">
        <f>289.82+1407+160</f>
        <v>1856.82</v>
      </c>
      <c r="E46" s="59">
        <f t="shared" si="0"/>
        <v>6808.82</v>
      </c>
      <c r="F46" s="60"/>
    </row>
    <row r="47" s="34" customFormat="1" ht="18.75" spans="1:6">
      <c r="A47" s="61">
        <v>2011101</v>
      </c>
      <c r="B47" s="57" t="s">
        <v>117</v>
      </c>
      <c r="C47" s="58">
        <v>1750</v>
      </c>
      <c r="D47" s="59">
        <f>239.82+7</f>
        <v>246.82</v>
      </c>
      <c r="E47" s="59">
        <f t="shared" si="0"/>
        <v>1996.82</v>
      </c>
      <c r="F47" s="60"/>
    </row>
    <row r="48" s="34" customFormat="1" ht="18.75" spans="1:6">
      <c r="A48" s="61">
        <v>2011102</v>
      </c>
      <c r="B48" s="57" t="s">
        <v>118</v>
      </c>
      <c r="C48" s="58">
        <v>110</v>
      </c>
      <c r="D48" s="59">
        <v>0</v>
      </c>
      <c r="E48" s="59">
        <f t="shared" si="0"/>
        <v>110</v>
      </c>
      <c r="F48" s="60"/>
    </row>
    <row r="49" s="34" customFormat="1" ht="18.75" spans="1:6">
      <c r="A49" s="61">
        <v>2011106</v>
      </c>
      <c r="B49" s="57" t="s">
        <v>146</v>
      </c>
      <c r="C49" s="58">
        <v>60</v>
      </c>
      <c r="D49" s="59">
        <v>0</v>
      </c>
      <c r="E49" s="59">
        <f t="shared" si="0"/>
        <v>60</v>
      </c>
      <c r="F49" s="60"/>
    </row>
    <row r="50" s="34" customFormat="1" ht="18.75" spans="1:6">
      <c r="A50" s="61">
        <v>2011199</v>
      </c>
      <c r="B50" s="57" t="s">
        <v>147</v>
      </c>
      <c r="C50" s="58">
        <v>3032</v>
      </c>
      <c r="D50" s="59">
        <f>50+1400+160</f>
        <v>1610</v>
      </c>
      <c r="E50" s="59">
        <f t="shared" si="0"/>
        <v>4642</v>
      </c>
      <c r="F50" s="60"/>
    </row>
    <row r="51" s="34" customFormat="1" ht="18.75" spans="1:6">
      <c r="A51" s="56">
        <v>20113</v>
      </c>
      <c r="B51" s="57" t="s">
        <v>148</v>
      </c>
      <c r="C51" s="58">
        <v>656.39</v>
      </c>
      <c r="D51" s="59">
        <v>74.0641000000001</v>
      </c>
      <c r="E51" s="59">
        <f t="shared" si="0"/>
        <v>730.4541</v>
      </c>
      <c r="F51" s="60"/>
    </row>
    <row r="52" s="34" customFormat="1" ht="18.75" spans="1:6">
      <c r="A52" s="61">
        <v>2011301</v>
      </c>
      <c r="B52" s="57" t="s">
        <v>117</v>
      </c>
      <c r="C52" s="58">
        <v>416.39</v>
      </c>
      <c r="D52" s="59">
        <v>74.0641</v>
      </c>
      <c r="E52" s="59">
        <f t="shared" si="0"/>
        <v>490.4541</v>
      </c>
      <c r="F52" s="60"/>
    </row>
    <row r="53" s="34" customFormat="1" ht="18.75" spans="1:6">
      <c r="A53" s="61">
        <v>2011308</v>
      </c>
      <c r="B53" s="57" t="s">
        <v>149</v>
      </c>
      <c r="C53" s="58">
        <v>100</v>
      </c>
      <c r="D53" s="59">
        <v>0</v>
      </c>
      <c r="E53" s="59">
        <f t="shared" si="0"/>
        <v>100</v>
      </c>
      <c r="F53" s="60"/>
    </row>
    <row r="54" s="34" customFormat="1" ht="18.75" spans="1:6">
      <c r="A54" s="61">
        <v>2011399</v>
      </c>
      <c r="B54" s="57" t="s">
        <v>150</v>
      </c>
      <c r="C54" s="58">
        <v>140</v>
      </c>
      <c r="D54" s="59">
        <v>0</v>
      </c>
      <c r="E54" s="59">
        <f t="shared" si="0"/>
        <v>140</v>
      </c>
      <c r="F54" s="60"/>
    </row>
    <row r="55" s="34" customFormat="1" ht="18.75" spans="1:6">
      <c r="A55" s="56">
        <v>20114</v>
      </c>
      <c r="B55" s="57" t="s">
        <v>151</v>
      </c>
      <c r="C55" s="58">
        <v>10</v>
      </c>
      <c r="D55" s="59">
        <v>0</v>
      </c>
      <c r="E55" s="59">
        <f t="shared" si="0"/>
        <v>10</v>
      </c>
      <c r="F55" s="60"/>
    </row>
    <row r="56" s="34" customFormat="1" ht="18.75" spans="1:6">
      <c r="A56" s="61">
        <v>2011409</v>
      </c>
      <c r="B56" s="57" t="s">
        <v>152</v>
      </c>
      <c r="C56" s="58">
        <v>10</v>
      </c>
      <c r="D56" s="59">
        <v>0</v>
      </c>
      <c r="E56" s="59">
        <f t="shared" si="0"/>
        <v>10</v>
      </c>
      <c r="F56" s="60"/>
    </row>
    <row r="57" s="34" customFormat="1" ht="18.75" spans="1:6">
      <c r="A57" s="56">
        <v>20123</v>
      </c>
      <c r="B57" s="57" t="s">
        <v>153</v>
      </c>
      <c r="C57" s="58">
        <v>238.06</v>
      </c>
      <c r="D57" s="59">
        <v>36.967096</v>
      </c>
      <c r="E57" s="59">
        <f t="shared" si="0"/>
        <v>275.027096</v>
      </c>
      <c r="F57" s="60"/>
    </row>
    <row r="58" s="34" customFormat="1" ht="18.75" spans="1:6">
      <c r="A58" s="61">
        <v>2012301</v>
      </c>
      <c r="B58" s="57" t="s">
        <v>117</v>
      </c>
      <c r="C58" s="58">
        <v>175.06</v>
      </c>
      <c r="D58" s="59">
        <v>9.04209599999999</v>
      </c>
      <c r="E58" s="59">
        <f t="shared" si="0"/>
        <v>184.102096</v>
      </c>
      <c r="F58" s="60"/>
    </row>
    <row r="59" s="34" customFormat="1" ht="18.75" spans="1:6">
      <c r="A59" s="61">
        <v>2012304</v>
      </c>
      <c r="B59" s="57" t="s">
        <v>154</v>
      </c>
      <c r="C59" s="58">
        <v>63</v>
      </c>
      <c r="D59" s="59">
        <v>27.925</v>
      </c>
      <c r="E59" s="59">
        <f t="shared" si="0"/>
        <v>90.925</v>
      </c>
      <c r="F59" s="60"/>
    </row>
    <row r="60" s="34" customFormat="1" ht="18.75" spans="1:6">
      <c r="A60" s="56">
        <v>20126</v>
      </c>
      <c r="B60" s="57" t="s">
        <v>155</v>
      </c>
      <c r="C60" s="58">
        <v>345.8</v>
      </c>
      <c r="D60" s="59">
        <v>68.6</v>
      </c>
      <c r="E60" s="59">
        <f t="shared" si="0"/>
        <v>414.4</v>
      </c>
      <c r="F60" s="60"/>
    </row>
    <row r="61" s="34" customFormat="1" ht="18.75" spans="1:6">
      <c r="A61" s="61">
        <v>2012601</v>
      </c>
      <c r="B61" s="57" t="s">
        <v>117</v>
      </c>
      <c r="C61" s="58">
        <v>253.28</v>
      </c>
      <c r="D61" s="59">
        <v>18.6</v>
      </c>
      <c r="E61" s="59">
        <f t="shared" si="0"/>
        <v>271.88</v>
      </c>
      <c r="F61" s="60"/>
    </row>
    <row r="62" s="34" customFormat="1" ht="18.75" spans="1:6">
      <c r="A62" s="61">
        <v>2012602</v>
      </c>
      <c r="B62" s="57" t="s">
        <v>118</v>
      </c>
      <c r="C62" s="58">
        <v>18.6</v>
      </c>
      <c r="D62" s="59">
        <v>6.577</v>
      </c>
      <c r="E62" s="59">
        <f t="shared" si="0"/>
        <v>25.177</v>
      </c>
      <c r="F62" s="60"/>
    </row>
    <row r="63" s="2" customFormat="1" ht="18" customHeight="1" spans="1:6">
      <c r="A63" s="61">
        <v>2012604</v>
      </c>
      <c r="B63" s="57" t="s">
        <v>156</v>
      </c>
      <c r="C63" s="58">
        <v>73.92</v>
      </c>
      <c r="D63" s="59">
        <v>43.423</v>
      </c>
      <c r="E63" s="59">
        <f t="shared" si="0"/>
        <v>117.343</v>
      </c>
      <c r="F63" s="62"/>
    </row>
    <row r="64" s="2" customFormat="1" ht="18" customHeight="1" spans="1:6">
      <c r="A64" s="56">
        <v>20128</v>
      </c>
      <c r="B64" s="57" t="s">
        <v>157</v>
      </c>
      <c r="C64" s="58">
        <v>109.97</v>
      </c>
      <c r="D64" s="59">
        <v>2.87820000000001</v>
      </c>
      <c r="E64" s="59">
        <f t="shared" si="0"/>
        <v>112.8482</v>
      </c>
      <c r="F64" s="62"/>
    </row>
    <row r="65" s="34" customFormat="1" ht="18.75" spans="1:6">
      <c r="A65" s="61">
        <v>2012801</v>
      </c>
      <c r="B65" s="57" t="s">
        <v>117</v>
      </c>
      <c r="C65" s="58">
        <v>84.97</v>
      </c>
      <c r="D65" s="59">
        <v>2.87820000000001</v>
      </c>
      <c r="E65" s="59">
        <f t="shared" si="0"/>
        <v>87.8482</v>
      </c>
      <c r="F65" s="60"/>
    </row>
    <row r="66" ht="18.75" spans="1:6">
      <c r="A66" s="61">
        <v>2012802</v>
      </c>
      <c r="B66" s="57" t="s">
        <v>118</v>
      </c>
      <c r="C66" s="58">
        <v>15</v>
      </c>
      <c r="D66" s="59">
        <v>0</v>
      </c>
      <c r="E66" s="59">
        <f t="shared" si="0"/>
        <v>15</v>
      </c>
      <c r="F66" s="60"/>
    </row>
    <row r="67" ht="18.75" spans="1:6">
      <c r="A67" s="61">
        <v>2012804</v>
      </c>
      <c r="B67" s="57" t="s">
        <v>158</v>
      </c>
      <c r="C67" s="58">
        <v>10</v>
      </c>
      <c r="D67" s="59">
        <v>0</v>
      </c>
      <c r="E67" s="59">
        <f t="shared" si="0"/>
        <v>10</v>
      </c>
      <c r="F67" s="60"/>
    </row>
    <row r="68" ht="18.75" spans="1:6">
      <c r="A68" s="56">
        <v>20129</v>
      </c>
      <c r="B68" s="57" t="s">
        <v>159</v>
      </c>
      <c r="C68" s="58">
        <v>1055.79</v>
      </c>
      <c r="D68" s="59">
        <v>203.800729</v>
      </c>
      <c r="E68" s="59">
        <f t="shared" si="0"/>
        <v>1259.590729</v>
      </c>
      <c r="F68" s="60"/>
    </row>
    <row r="69" ht="18.75" spans="1:6">
      <c r="A69" s="61">
        <v>2012901</v>
      </c>
      <c r="B69" s="57" t="s">
        <v>117</v>
      </c>
      <c r="C69" s="58">
        <v>363.51</v>
      </c>
      <c r="D69" s="59">
        <v>26.140329</v>
      </c>
      <c r="E69" s="59">
        <f t="shared" si="0"/>
        <v>389.650329</v>
      </c>
      <c r="F69" s="60"/>
    </row>
    <row r="70" ht="18.75" spans="1:6">
      <c r="A70" s="61">
        <v>2012902</v>
      </c>
      <c r="B70" s="57" t="s">
        <v>118</v>
      </c>
      <c r="C70" s="58">
        <v>73</v>
      </c>
      <c r="D70" s="59">
        <v>18.96</v>
      </c>
      <c r="E70" s="59">
        <f t="shared" si="0"/>
        <v>91.96</v>
      </c>
      <c r="F70" s="60"/>
    </row>
    <row r="71" ht="18.75" spans="1:6">
      <c r="A71" s="61">
        <v>2012999</v>
      </c>
      <c r="B71" s="57" t="s">
        <v>160</v>
      </c>
      <c r="C71" s="58">
        <v>619.28</v>
      </c>
      <c r="D71" s="59">
        <v>158.7004</v>
      </c>
      <c r="E71" s="59">
        <f t="shared" si="0"/>
        <v>777.9804</v>
      </c>
      <c r="F71" s="60"/>
    </row>
    <row r="72" ht="18.75" spans="1:6">
      <c r="A72" s="56">
        <v>20131</v>
      </c>
      <c r="B72" s="57" t="s">
        <v>161</v>
      </c>
      <c r="C72" s="58">
        <v>2331.42</v>
      </c>
      <c r="D72" s="59">
        <f>1286.865764+904+42</f>
        <v>2232.865764</v>
      </c>
      <c r="E72" s="59">
        <f t="shared" ref="E72:E135" si="1">C72+D72</f>
        <v>4564.285764</v>
      </c>
      <c r="F72" s="60"/>
    </row>
    <row r="73" ht="18.75" spans="1:6">
      <c r="A73" s="61">
        <v>2013101</v>
      </c>
      <c r="B73" s="57" t="s">
        <v>117</v>
      </c>
      <c r="C73" s="58">
        <v>1563.42</v>
      </c>
      <c r="D73" s="59">
        <f>166.123764+42</f>
        <v>208.123764</v>
      </c>
      <c r="E73" s="59">
        <f t="shared" si="1"/>
        <v>1771.543764</v>
      </c>
      <c r="F73" s="60"/>
    </row>
    <row r="74" ht="18.75" spans="1:6">
      <c r="A74" s="61">
        <v>2013102</v>
      </c>
      <c r="B74" s="57" t="s">
        <v>118</v>
      </c>
      <c r="C74" s="58">
        <v>15</v>
      </c>
      <c r="D74" s="59">
        <v>0</v>
      </c>
      <c r="E74" s="59">
        <f t="shared" si="1"/>
        <v>15</v>
      </c>
      <c r="F74" s="60"/>
    </row>
    <row r="75" ht="18.75" spans="1:6">
      <c r="A75" s="61">
        <v>2013105</v>
      </c>
      <c r="B75" s="57" t="s">
        <v>162</v>
      </c>
      <c r="C75" s="58">
        <v>385</v>
      </c>
      <c r="D75" s="59">
        <f>1120.742+904</f>
        <v>2024.742</v>
      </c>
      <c r="E75" s="59">
        <f t="shared" si="1"/>
        <v>2409.742</v>
      </c>
      <c r="F75" s="60"/>
    </row>
    <row r="76" ht="37.5" spans="1:6">
      <c r="A76" s="61">
        <v>2013199</v>
      </c>
      <c r="B76" s="57" t="s">
        <v>163</v>
      </c>
      <c r="C76" s="58">
        <v>368</v>
      </c>
      <c r="D76" s="59">
        <v>0</v>
      </c>
      <c r="E76" s="59">
        <f t="shared" si="1"/>
        <v>368</v>
      </c>
      <c r="F76" s="60"/>
    </row>
    <row r="77" ht="18.75" spans="1:6">
      <c r="A77" s="56">
        <v>20132</v>
      </c>
      <c r="B77" s="57" t="s">
        <v>164</v>
      </c>
      <c r="C77" s="58">
        <v>1463.83</v>
      </c>
      <c r="D77" s="59">
        <v>174.115168</v>
      </c>
      <c r="E77" s="59">
        <f t="shared" si="1"/>
        <v>1637.945168</v>
      </c>
      <c r="F77" s="60"/>
    </row>
    <row r="78" ht="18.75" spans="1:6">
      <c r="A78" s="61">
        <v>2013201</v>
      </c>
      <c r="B78" s="57" t="s">
        <v>117</v>
      </c>
      <c r="C78" s="58">
        <v>848.03</v>
      </c>
      <c r="D78" s="59">
        <v>201.5997</v>
      </c>
      <c r="E78" s="59">
        <f t="shared" si="1"/>
        <v>1049.6297</v>
      </c>
      <c r="F78" s="60"/>
    </row>
    <row r="79" ht="18.75" spans="1:6">
      <c r="A79" s="61">
        <v>2013299</v>
      </c>
      <c r="B79" s="57" t="s">
        <v>165</v>
      </c>
      <c r="C79" s="58">
        <v>615.8</v>
      </c>
      <c r="D79" s="59">
        <v>-27.4845319999999</v>
      </c>
      <c r="E79" s="59">
        <f t="shared" si="1"/>
        <v>588.315468</v>
      </c>
      <c r="F79" s="60"/>
    </row>
    <row r="80" ht="18.75" spans="1:6">
      <c r="A80" s="56">
        <v>20133</v>
      </c>
      <c r="B80" s="57" t="s">
        <v>166</v>
      </c>
      <c r="C80" s="58">
        <v>1080.91</v>
      </c>
      <c r="D80" s="59">
        <f>233.0821+10</f>
        <v>243.0821</v>
      </c>
      <c r="E80" s="59">
        <f t="shared" si="1"/>
        <v>1323.9921</v>
      </c>
      <c r="F80" s="60"/>
    </row>
    <row r="81" ht="18.75" spans="1:6">
      <c r="A81" s="61">
        <v>2013301</v>
      </c>
      <c r="B81" s="57" t="s">
        <v>117</v>
      </c>
      <c r="C81" s="58">
        <v>425.25</v>
      </c>
      <c r="D81" s="59">
        <v>37.9217</v>
      </c>
      <c r="E81" s="59">
        <f t="shared" si="1"/>
        <v>463.1717</v>
      </c>
      <c r="F81" s="60"/>
    </row>
    <row r="82" ht="18.75" spans="1:6">
      <c r="A82" s="61">
        <v>2013302</v>
      </c>
      <c r="B82" s="57" t="s">
        <v>118</v>
      </c>
      <c r="C82" s="58">
        <v>1.73</v>
      </c>
      <c r="D82" s="59">
        <v>0.00160000000000005</v>
      </c>
      <c r="E82" s="59">
        <f t="shared" si="1"/>
        <v>1.7316</v>
      </c>
      <c r="F82" s="60"/>
    </row>
    <row r="83" ht="18.75" spans="1:6">
      <c r="A83" s="61">
        <v>2013304</v>
      </c>
      <c r="B83" s="57" t="s">
        <v>167</v>
      </c>
      <c r="C83" s="58">
        <v>200</v>
      </c>
      <c r="D83" s="59">
        <v>166.6</v>
      </c>
      <c r="E83" s="59">
        <f t="shared" si="1"/>
        <v>366.6</v>
      </c>
      <c r="F83" s="60"/>
    </row>
    <row r="84" ht="18.75" spans="1:6">
      <c r="A84" s="61">
        <v>2013350</v>
      </c>
      <c r="B84" s="57" t="s">
        <v>130</v>
      </c>
      <c r="C84" s="58">
        <v>418.93</v>
      </c>
      <c r="D84" s="59">
        <v>28.5588</v>
      </c>
      <c r="E84" s="59">
        <f t="shared" si="1"/>
        <v>447.4888</v>
      </c>
      <c r="F84" s="60"/>
    </row>
    <row r="85" ht="18.75" spans="1:6">
      <c r="A85" s="61">
        <v>2013399</v>
      </c>
      <c r="B85" s="57" t="s">
        <v>168</v>
      </c>
      <c r="C85" s="58">
        <v>35</v>
      </c>
      <c r="D85" s="59">
        <f>0+10</f>
        <v>10</v>
      </c>
      <c r="E85" s="59">
        <f t="shared" si="1"/>
        <v>45</v>
      </c>
      <c r="F85" s="60"/>
    </row>
    <row r="86" ht="18.75" spans="1:6">
      <c r="A86" s="56">
        <v>20134</v>
      </c>
      <c r="B86" s="57" t="s">
        <v>169</v>
      </c>
      <c r="C86" s="58">
        <v>255.24</v>
      </c>
      <c r="D86" s="59">
        <v>16.5647</v>
      </c>
      <c r="E86" s="59">
        <f t="shared" si="1"/>
        <v>271.8047</v>
      </c>
      <c r="F86" s="60"/>
    </row>
    <row r="87" ht="18.75" spans="1:6">
      <c r="A87" s="61">
        <v>2013401</v>
      </c>
      <c r="B87" s="57" t="s">
        <v>117</v>
      </c>
      <c r="C87" s="58">
        <v>181.74</v>
      </c>
      <c r="D87" s="59">
        <v>13.5647</v>
      </c>
      <c r="E87" s="59">
        <f t="shared" si="1"/>
        <v>195.3047</v>
      </c>
      <c r="F87" s="60"/>
    </row>
    <row r="88" ht="18.75" spans="1:6">
      <c r="A88" s="61">
        <v>2013404</v>
      </c>
      <c r="B88" s="57" t="s">
        <v>170</v>
      </c>
      <c r="C88" s="58">
        <v>18.5</v>
      </c>
      <c r="D88" s="59">
        <v>3</v>
      </c>
      <c r="E88" s="59">
        <f t="shared" si="1"/>
        <v>21.5</v>
      </c>
      <c r="F88" s="60"/>
    </row>
    <row r="89" ht="18.75" spans="1:6">
      <c r="A89" s="61">
        <v>2013499</v>
      </c>
      <c r="B89" s="57" t="s">
        <v>171</v>
      </c>
      <c r="C89" s="58">
        <v>55</v>
      </c>
      <c r="D89" s="59">
        <v>0</v>
      </c>
      <c r="E89" s="59">
        <f t="shared" si="1"/>
        <v>55</v>
      </c>
      <c r="F89" s="60"/>
    </row>
    <row r="90" ht="18.75" spans="1:6">
      <c r="A90" s="56">
        <v>20136</v>
      </c>
      <c r="B90" s="57" t="s">
        <v>172</v>
      </c>
      <c r="C90" s="58">
        <v>42.4</v>
      </c>
      <c r="D90" s="59">
        <v>-42.4</v>
      </c>
      <c r="E90" s="59">
        <f t="shared" si="1"/>
        <v>0</v>
      </c>
      <c r="F90" s="60"/>
    </row>
    <row r="91" ht="18.75" spans="1:6">
      <c r="A91" s="61">
        <v>2013602</v>
      </c>
      <c r="B91" s="57" t="s">
        <v>118</v>
      </c>
      <c r="C91" s="58">
        <v>42.4</v>
      </c>
      <c r="D91" s="59">
        <v>-42.4</v>
      </c>
      <c r="E91" s="59">
        <f t="shared" si="1"/>
        <v>0</v>
      </c>
      <c r="F91" s="60"/>
    </row>
    <row r="92" ht="18.75" spans="1:6">
      <c r="A92" s="56">
        <v>20138</v>
      </c>
      <c r="B92" s="57" t="s">
        <v>173</v>
      </c>
      <c r="C92" s="58">
        <v>1949.096</v>
      </c>
      <c r="D92" s="59">
        <v>162.7588</v>
      </c>
      <c r="E92" s="59">
        <f t="shared" si="1"/>
        <v>2111.8548</v>
      </c>
      <c r="F92" s="60"/>
    </row>
    <row r="93" ht="18.75" spans="1:6">
      <c r="A93" s="61">
        <v>2013801</v>
      </c>
      <c r="B93" s="57" t="s">
        <v>117</v>
      </c>
      <c r="C93" s="58">
        <v>1664</v>
      </c>
      <c r="D93" s="59">
        <v>162.7588</v>
      </c>
      <c r="E93" s="59">
        <f t="shared" si="1"/>
        <v>1826.7588</v>
      </c>
      <c r="F93" s="60"/>
    </row>
    <row r="94" ht="18.75" spans="1:6">
      <c r="A94" s="61">
        <v>2013802</v>
      </c>
      <c r="B94" s="57" t="s">
        <v>118</v>
      </c>
      <c r="C94" s="58">
        <v>4.096</v>
      </c>
      <c r="D94" s="59">
        <v>-4.096</v>
      </c>
      <c r="E94" s="59">
        <f t="shared" si="1"/>
        <v>0</v>
      </c>
      <c r="F94" s="60"/>
    </row>
    <row r="95" ht="18.75" spans="1:6">
      <c r="A95" s="61">
        <v>2013804</v>
      </c>
      <c r="B95" s="57" t="s">
        <v>174</v>
      </c>
      <c r="C95" s="58">
        <v>100</v>
      </c>
      <c r="D95" s="59">
        <v>0</v>
      </c>
      <c r="E95" s="59">
        <f t="shared" si="1"/>
        <v>100</v>
      </c>
      <c r="F95" s="60"/>
    </row>
    <row r="96" ht="18.75" spans="1:6">
      <c r="A96" s="61">
        <v>2013805</v>
      </c>
      <c r="B96" s="57" t="s">
        <v>175</v>
      </c>
      <c r="C96" s="58">
        <v>50</v>
      </c>
      <c r="D96" s="59">
        <v>9.096</v>
      </c>
      <c r="E96" s="59">
        <f t="shared" si="1"/>
        <v>59.096</v>
      </c>
      <c r="F96" s="60"/>
    </row>
    <row r="97" ht="18.75" spans="1:6">
      <c r="A97" s="61">
        <v>2013808</v>
      </c>
      <c r="B97" s="57" t="s">
        <v>142</v>
      </c>
      <c r="C97" s="58">
        <v>10</v>
      </c>
      <c r="D97" s="59">
        <v>0</v>
      </c>
      <c r="E97" s="59">
        <f t="shared" si="1"/>
        <v>10</v>
      </c>
      <c r="F97" s="60"/>
    </row>
    <row r="98" ht="18.75" spans="1:6">
      <c r="A98" s="61">
        <v>2013810</v>
      </c>
      <c r="B98" s="57" t="s">
        <v>176</v>
      </c>
      <c r="C98" s="58">
        <v>10</v>
      </c>
      <c r="D98" s="59">
        <v>0</v>
      </c>
      <c r="E98" s="59">
        <f t="shared" si="1"/>
        <v>10</v>
      </c>
      <c r="F98" s="60"/>
    </row>
    <row r="99" ht="18.75" spans="1:6">
      <c r="A99" s="61">
        <v>2013812</v>
      </c>
      <c r="B99" s="57" t="s">
        <v>177</v>
      </c>
      <c r="C99" s="58">
        <v>2</v>
      </c>
      <c r="D99" s="59">
        <v>0</v>
      </c>
      <c r="E99" s="59">
        <f t="shared" si="1"/>
        <v>2</v>
      </c>
      <c r="F99" s="60"/>
    </row>
    <row r="100" ht="18.75" spans="1:6">
      <c r="A100" s="61">
        <v>2013813</v>
      </c>
      <c r="B100" s="57" t="s">
        <v>178</v>
      </c>
      <c r="C100" s="58">
        <v>2</v>
      </c>
      <c r="D100" s="59">
        <v>0</v>
      </c>
      <c r="E100" s="59">
        <f t="shared" si="1"/>
        <v>2</v>
      </c>
      <c r="F100" s="60"/>
    </row>
    <row r="101" ht="18.75" spans="1:6">
      <c r="A101" s="61">
        <v>2013814</v>
      </c>
      <c r="B101" s="57" t="s">
        <v>179</v>
      </c>
      <c r="C101" s="58">
        <v>2</v>
      </c>
      <c r="D101" s="59">
        <v>0</v>
      </c>
      <c r="E101" s="59">
        <f t="shared" si="1"/>
        <v>2</v>
      </c>
      <c r="F101" s="60"/>
    </row>
    <row r="102" ht="18.75" spans="1:6">
      <c r="A102" s="61">
        <v>2013815</v>
      </c>
      <c r="B102" s="57" t="s">
        <v>180</v>
      </c>
      <c r="C102" s="58">
        <v>50</v>
      </c>
      <c r="D102" s="59">
        <v>0</v>
      </c>
      <c r="E102" s="59">
        <f t="shared" si="1"/>
        <v>50</v>
      </c>
      <c r="F102" s="60"/>
    </row>
    <row r="103" ht="18.75" spans="1:6">
      <c r="A103" s="61">
        <v>2013816</v>
      </c>
      <c r="B103" s="57" t="s">
        <v>181</v>
      </c>
      <c r="C103" s="58">
        <v>55</v>
      </c>
      <c r="D103" s="59">
        <v>-5</v>
      </c>
      <c r="E103" s="59">
        <f t="shared" si="1"/>
        <v>50</v>
      </c>
      <c r="F103" s="60"/>
    </row>
    <row r="104" ht="18.75" spans="1:6">
      <c r="A104" s="56">
        <v>20139</v>
      </c>
      <c r="B104" s="57" t="s">
        <v>182</v>
      </c>
      <c r="C104" s="58">
        <v>2756.4312</v>
      </c>
      <c r="D104" s="59">
        <v>3.11508000000003</v>
      </c>
      <c r="E104" s="59">
        <f t="shared" si="1"/>
        <v>2759.54628</v>
      </c>
      <c r="F104" s="60"/>
    </row>
    <row r="105" ht="18.75" spans="1:6">
      <c r="A105" s="61">
        <v>2013901</v>
      </c>
      <c r="B105" s="57" t="s">
        <v>117</v>
      </c>
      <c r="C105" s="58">
        <v>204.29</v>
      </c>
      <c r="D105" s="59">
        <v>8.8383</v>
      </c>
      <c r="E105" s="59">
        <f t="shared" si="1"/>
        <v>213.1283</v>
      </c>
      <c r="F105" s="60"/>
    </row>
    <row r="106" ht="18.75" spans="1:6">
      <c r="A106" s="61">
        <v>2013904</v>
      </c>
      <c r="B106" s="57" t="s">
        <v>162</v>
      </c>
      <c r="C106" s="58">
        <v>356.9512</v>
      </c>
      <c r="D106" s="59">
        <v>4.68000000000001</v>
      </c>
      <c r="E106" s="59">
        <f t="shared" si="1"/>
        <v>361.6312</v>
      </c>
      <c r="F106" s="60"/>
    </row>
    <row r="107" ht="18.75" spans="1:6">
      <c r="A107" s="61">
        <v>2013950</v>
      </c>
      <c r="B107" s="57" t="s">
        <v>130</v>
      </c>
      <c r="C107" s="58">
        <v>2195.51</v>
      </c>
      <c r="D107" s="59">
        <v>-11.2232200000003</v>
      </c>
      <c r="E107" s="59">
        <f t="shared" si="1"/>
        <v>2184.28678</v>
      </c>
      <c r="F107" s="60"/>
    </row>
    <row r="108" ht="18.75" spans="1:6">
      <c r="A108" s="61">
        <v>2013999</v>
      </c>
      <c r="B108" s="57" t="s">
        <v>183</v>
      </c>
      <c r="C108" s="58">
        <v>0</v>
      </c>
      <c r="D108" s="59">
        <v>0.5</v>
      </c>
      <c r="E108" s="59">
        <f t="shared" si="1"/>
        <v>0.5</v>
      </c>
      <c r="F108" s="60"/>
    </row>
    <row r="109" ht="18.75" spans="1:6">
      <c r="A109" s="56">
        <v>20140</v>
      </c>
      <c r="B109" s="57" t="s">
        <v>184</v>
      </c>
      <c r="C109" s="58">
        <v>721.69</v>
      </c>
      <c r="D109" s="59">
        <v>11.5524999999999</v>
      </c>
      <c r="E109" s="59">
        <f t="shared" si="1"/>
        <v>733.2425</v>
      </c>
      <c r="F109" s="60"/>
    </row>
    <row r="110" ht="18.75" spans="1:6">
      <c r="A110" s="61">
        <v>2014001</v>
      </c>
      <c r="B110" s="57" t="s">
        <v>117</v>
      </c>
      <c r="C110" s="58">
        <v>547.4</v>
      </c>
      <c r="D110" s="59">
        <v>-2.87149999999997</v>
      </c>
      <c r="E110" s="59">
        <f t="shared" si="1"/>
        <v>544.5285</v>
      </c>
      <c r="F110" s="60"/>
    </row>
    <row r="111" ht="18.75" spans="1:6">
      <c r="A111" s="61">
        <v>2014004</v>
      </c>
      <c r="B111" s="57" t="s">
        <v>185</v>
      </c>
      <c r="C111" s="58">
        <v>0.75</v>
      </c>
      <c r="D111" s="59">
        <v>0</v>
      </c>
      <c r="E111" s="59">
        <f t="shared" si="1"/>
        <v>0.75</v>
      </c>
      <c r="F111" s="60"/>
    </row>
    <row r="112" ht="18.75" spans="1:6">
      <c r="A112" s="61">
        <v>2014050</v>
      </c>
      <c r="B112" s="57" t="s">
        <v>130</v>
      </c>
      <c r="C112" s="58">
        <v>173.53</v>
      </c>
      <c r="D112" s="59">
        <v>11.434</v>
      </c>
      <c r="E112" s="59">
        <f t="shared" si="1"/>
        <v>184.964</v>
      </c>
      <c r="F112" s="60"/>
    </row>
    <row r="113" ht="18.75" spans="1:6">
      <c r="A113" s="61">
        <v>2014099</v>
      </c>
      <c r="B113" s="57" t="s">
        <v>186</v>
      </c>
      <c r="C113" s="58">
        <v>0</v>
      </c>
      <c r="D113" s="59">
        <v>3</v>
      </c>
      <c r="E113" s="59">
        <f t="shared" si="1"/>
        <v>3</v>
      </c>
      <c r="F113" s="60"/>
    </row>
    <row r="114" ht="18.75" spans="1:6">
      <c r="A114" s="56">
        <v>20199</v>
      </c>
      <c r="B114" s="57" t="s">
        <v>187</v>
      </c>
      <c r="C114" s="58">
        <v>8266.38</v>
      </c>
      <c r="D114" s="59">
        <f>9779.346836-5443.2-3480</f>
        <v>856.146836000001</v>
      </c>
      <c r="E114" s="59">
        <f t="shared" si="1"/>
        <v>9122.526836</v>
      </c>
      <c r="F114" s="60"/>
    </row>
    <row r="115" ht="18.75" spans="1:6">
      <c r="A115" s="61">
        <v>2019999</v>
      </c>
      <c r="B115" s="57" t="s">
        <v>187</v>
      </c>
      <c r="C115" s="58">
        <v>8266.38</v>
      </c>
      <c r="D115" s="59">
        <f>9779.346836-5443.2-3480</f>
        <v>856.146836000001</v>
      </c>
      <c r="E115" s="59">
        <f t="shared" si="1"/>
        <v>9122.526836</v>
      </c>
      <c r="F115" s="60"/>
    </row>
    <row r="116" ht="18.75" spans="1:6">
      <c r="A116" s="56">
        <v>203</v>
      </c>
      <c r="B116" s="57" t="s">
        <v>188</v>
      </c>
      <c r="C116" s="58">
        <v>326.2</v>
      </c>
      <c r="D116" s="59">
        <v>32.3</v>
      </c>
      <c r="E116" s="59">
        <f t="shared" si="1"/>
        <v>358.5</v>
      </c>
      <c r="F116" s="60"/>
    </row>
    <row r="117" ht="18.75" spans="1:6">
      <c r="A117" s="56">
        <v>20306</v>
      </c>
      <c r="B117" s="57" t="s">
        <v>189</v>
      </c>
      <c r="C117" s="58">
        <v>326.2</v>
      </c>
      <c r="D117" s="59">
        <v>32.3</v>
      </c>
      <c r="E117" s="59">
        <f t="shared" si="1"/>
        <v>358.5</v>
      </c>
      <c r="F117" s="60"/>
    </row>
    <row r="118" ht="18.75" spans="1:6">
      <c r="A118" s="61">
        <v>2030601</v>
      </c>
      <c r="B118" s="57" t="s">
        <v>190</v>
      </c>
      <c r="C118" s="58">
        <v>41.5</v>
      </c>
      <c r="D118" s="59">
        <v>0</v>
      </c>
      <c r="E118" s="59">
        <f t="shared" si="1"/>
        <v>41.5</v>
      </c>
      <c r="F118" s="60"/>
    </row>
    <row r="119" ht="18.75" spans="1:6">
      <c r="A119" s="61">
        <v>2030603</v>
      </c>
      <c r="B119" s="57" t="s">
        <v>191</v>
      </c>
      <c r="C119" s="58">
        <v>45</v>
      </c>
      <c r="D119" s="59">
        <v>0</v>
      </c>
      <c r="E119" s="59">
        <f t="shared" si="1"/>
        <v>45</v>
      </c>
      <c r="F119" s="60"/>
    </row>
    <row r="120" ht="18.75" spans="1:6">
      <c r="A120" s="61">
        <v>2030607</v>
      </c>
      <c r="B120" s="57" t="s">
        <v>192</v>
      </c>
      <c r="C120" s="58">
        <v>119</v>
      </c>
      <c r="D120" s="59">
        <v>32.3</v>
      </c>
      <c r="E120" s="59">
        <f t="shared" si="1"/>
        <v>151.3</v>
      </c>
      <c r="F120" s="60"/>
    </row>
    <row r="121" ht="18.75" spans="1:6">
      <c r="A121" s="61">
        <v>2030699</v>
      </c>
      <c r="B121" s="57" t="s">
        <v>193</v>
      </c>
      <c r="C121" s="58">
        <v>120.7</v>
      </c>
      <c r="D121" s="59">
        <v>0</v>
      </c>
      <c r="E121" s="59">
        <f t="shared" si="1"/>
        <v>120.7</v>
      </c>
      <c r="F121" s="60"/>
    </row>
    <row r="122" ht="18.75" spans="1:6">
      <c r="A122" s="56">
        <v>204</v>
      </c>
      <c r="B122" s="57" t="s">
        <v>194</v>
      </c>
      <c r="C122" s="58">
        <v>3437.67</v>
      </c>
      <c r="D122" s="59">
        <f>921.99682+117</f>
        <v>1038.99682</v>
      </c>
      <c r="E122" s="59">
        <f t="shared" si="1"/>
        <v>4476.66682</v>
      </c>
      <c r="F122" s="60"/>
    </row>
    <row r="123" ht="18.75" spans="1:6">
      <c r="A123" s="56">
        <v>20401</v>
      </c>
      <c r="B123" s="57" t="s">
        <v>195</v>
      </c>
      <c r="C123" s="58">
        <v>84</v>
      </c>
      <c r="D123" s="59">
        <v>0</v>
      </c>
      <c r="E123" s="59">
        <f t="shared" si="1"/>
        <v>84</v>
      </c>
      <c r="F123" s="60"/>
    </row>
    <row r="124" ht="18.75" spans="1:6">
      <c r="A124" s="61">
        <v>2040199</v>
      </c>
      <c r="B124" s="57" t="s">
        <v>196</v>
      </c>
      <c r="C124" s="58">
        <v>84</v>
      </c>
      <c r="D124" s="59">
        <v>0</v>
      </c>
      <c r="E124" s="59">
        <f t="shared" si="1"/>
        <v>84</v>
      </c>
      <c r="F124" s="60"/>
    </row>
    <row r="125" ht="18.75" spans="1:6">
      <c r="A125" s="56">
        <v>20402</v>
      </c>
      <c r="B125" s="57" t="s">
        <v>197</v>
      </c>
      <c r="C125" s="58">
        <v>520.49</v>
      </c>
      <c r="D125" s="59">
        <f>765.32422+117</f>
        <v>882.32422</v>
      </c>
      <c r="E125" s="59">
        <f t="shared" si="1"/>
        <v>1402.81422</v>
      </c>
      <c r="F125" s="60"/>
    </row>
    <row r="126" ht="18.75" spans="1:6">
      <c r="A126" s="61">
        <v>2040201</v>
      </c>
      <c r="B126" s="57" t="s">
        <v>117</v>
      </c>
      <c r="C126" s="58">
        <v>340.49</v>
      </c>
      <c r="D126" s="59">
        <v>454.7345</v>
      </c>
      <c r="E126" s="59">
        <f t="shared" si="1"/>
        <v>795.2245</v>
      </c>
      <c r="F126" s="60"/>
    </row>
    <row r="127" ht="18.75" spans="1:6">
      <c r="A127" s="61">
        <v>2040299</v>
      </c>
      <c r="B127" s="57" t="s">
        <v>198</v>
      </c>
      <c r="C127" s="58">
        <v>180</v>
      </c>
      <c r="D127" s="59">
        <f>310.58972+117</f>
        <v>427.58972</v>
      </c>
      <c r="E127" s="59">
        <f t="shared" si="1"/>
        <v>607.58972</v>
      </c>
      <c r="F127" s="60"/>
    </row>
    <row r="128" ht="18.75" spans="1:6">
      <c r="A128" s="56">
        <v>20404</v>
      </c>
      <c r="B128" s="57" t="s">
        <v>199</v>
      </c>
      <c r="C128" s="58">
        <v>28.8</v>
      </c>
      <c r="D128" s="59">
        <v>0</v>
      </c>
      <c r="E128" s="59">
        <f t="shared" si="1"/>
        <v>28.8</v>
      </c>
      <c r="F128" s="60"/>
    </row>
    <row r="129" ht="18.75" spans="1:6">
      <c r="A129" s="61">
        <v>2040401</v>
      </c>
      <c r="B129" s="57" t="s">
        <v>117</v>
      </c>
      <c r="C129" s="58">
        <v>28.8</v>
      </c>
      <c r="D129" s="59">
        <v>0</v>
      </c>
      <c r="E129" s="59">
        <f t="shared" si="1"/>
        <v>28.8</v>
      </c>
      <c r="F129" s="60"/>
    </row>
    <row r="130" ht="18.75" spans="1:6">
      <c r="A130" s="56">
        <v>20405</v>
      </c>
      <c r="B130" s="57" t="s">
        <v>200</v>
      </c>
      <c r="C130" s="58">
        <v>72</v>
      </c>
      <c r="D130" s="59">
        <v>48.558</v>
      </c>
      <c r="E130" s="59">
        <f t="shared" si="1"/>
        <v>120.558</v>
      </c>
      <c r="F130" s="60"/>
    </row>
    <row r="131" ht="18.75" spans="1:6">
      <c r="A131" s="61">
        <v>2040501</v>
      </c>
      <c r="B131" s="57" t="s">
        <v>117</v>
      </c>
      <c r="C131" s="58">
        <v>72</v>
      </c>
      <c r="D131" s="59">
        <v>0</v>
      </c>
      <c r="E131" s="59">
        <f t="shared" si="1"/>
        <v>72</v>
      </c>
      <c r="F131" s="60"/>
    </row>
    <row r="132" ht="18.75" spans="1:6">
      <c r="A132" s="61">
        <v>2040502</v>
      </c>
      <c r="B132" s="57" t="s">
        <v>118</v>
      </c>
      <c r="C132" s="58">
        <v>0</v>
      </c>
      <c r="D132" s="59">
        <v>48.558</v>
      </c>
      <c r="E132" s="59">
        <f t="shared" si="1"/>
        <v>48.558</v>
      </c>
      <c r="F132" s="60"/>
    </row>
    <row r="133" ht="18.75" spans="1:6">
      <c r="A133" s="56">
        <v>20406</v>
      </c>
      <c r="B133" s="57" t="s">
        <v>201</v>
      </c>
      <c r="C133" s="58">
        <v>1035.52</v>
      </c>
      <c r="D133" s="59">
        <v>276.1938</v>
      </c>
      <c r="E133" s="59">
        <f t="shared" si="1"/>
        <v>1311.7138</v>
      </c>
      <c r="F133" s="60"/>
    </row>
    <row r="134" ht="18.75" spans="1:6">
      <c r="A134" s="61">
        <v>2040601</v>
      </c>
      <c r="B134" s="57" t="s">
        <v>117</v>
      </c>
      <c r="C134" s="58">
        <v>936.31</v>
      </c>
      <c r="D134" s="59">
        <v>75.7896000000001</v>
      </c>
      <c r="E134" s="59">
        <f t="shared" si="1"/>
        <v>1012.0996</v>
      </c>
      <c r="F134" s="60"/>
    </row>
    <row r="135" ht="18.75" spans="1:6">
      <c r="A135" s="61">
        <v>2040602</v>
      </c>
      <c r="B135" s="57" t="s">
        <v>118</v>
      </c>
      <c r="C135" s="58">
        <v>9.12</v>
      </c>
      <c r="D135" s="59">
        <v>13.076902</v>
      </c>
      <c r="E135" s="59">
        <f t="shared" si="1"/>
        <v>22.196902</v>
      </c>
      <c r="F135" s="60"/>
    </row>
    <row r="136" ht="18.75" spans="1:6">
      <c r="A136" s="61">
        <v>2040604</v>
      </c>
      <c r="B136" s="57" t="s">
        <v>202</v>
      </c>
      <c r="C136" s="58">
        <v>36.01</v>
      </c>
      <c r="D136" s="59">
        <v>47.39381</v>
      </c>
      <c r="E136" s="59">
        <f t="shared" ref="E136:E199" si="2">C136+D136</f>
        <v>83.40381</v>
      </c>
      <c r="F136" s="60"/>
    </row>
    <row r="137" ht="18.75" spans="1:6">
      <c r="A137" s="61">
        <v>2040605</v>
      </c>
      <c r="B137" s="57" t="s">
        <v>203</v>
      </c>
      <c r="C137" s="58">
        <v>2.42</v>
      </c>
      <c r="D137" s="59">
        <v>37.159898</v>
      </c>
      <c r="E137" s="59">
        <f t="shared" si="2"/>
        <v>39.579898</v>
      </c>
      <c r="F137" s="60"/>
    </row>
    <row r="138" ht="18.75" spans="1:6">
      <c r="A138" s="61">
        <v>2040606</v>
      </c>
      <c r="B138" s="57" t="s">
        <v>204</v>
      </c>
      <c r="C138" s="58">
        <v>8</v>
      </c>
      <c r="D138" s="59">
        <v>16</v>
      </c>
      <c r="E138" s="59">
        <f t="shared" si="2"/>
        <v>24</v>
      </c>
      <c r="F138" s="60"/>
    </row>
    <row r="139" ht="18.75" spans="1:6">
      <c r="A139" s="61">
        <v>2040607</v>
      </c>
      <c r="B139" s="57" t="s">
        <v>205</v>
      </c>
      <c r="C139" s="58">
        <v>12.8</v>
      </c>
      <c r="D139" s="59">
        <v>79.8432</v>
      </c>
      <c r="E139" s="59">
        <f t="shared" si="2"/>
        <v>92.6432</v>
      </c>
      <c r="F139" s="60"/>
    </row>
    <row r="140" ht="18.75" spans="1:6">
      <c r="A140" s="61">
        <v>2040610</v>
      </c>
      <c r="B140" s="57" t="s">
        <v>206</v>
      </c>
      <c r="C140" s="58">
        <v>4.57</v>
      </c>
      <c r="D140" s="59">
        <v>1.5332</v>
      </c>
      <c r="E140" s="59">
        <f t="shared" si="2"/>
        <v>6.1032</v>
      </c>
      <c r="F140" s="60"/>
    </row>
    <row r="141" ht="18.75" spans="1:6">
      <c r="A141" s="61">
        <v>2040612</v>
      </c>
      <c r="B141" s="57" t="s">
        <v>207</v>
      </c>
      <c r="C141" s="58">
        <v>0</v>
      </c>
      <c r="D141" s="59">
        <v>1.56019</v>
      </c>
      <c r="E141" s="59">
        <f t="shared" si="2"/>
        <v>1.56019</v>
      </c>
      <c r="F141" s="60"/>
    </row>
    <row r="142" ht="18.75" spans="1:6">
      <c r="A142" s="61">
        <v>2040699</v>
      </c>
      <c r="B142" s="57" t="s">
        <v>208</v>
      </c>
      <c r="C142" s="58">
        <v>26.3</v>
      </c>
      <c r="D142" s="59">
        <v>3.827</v>
      </c>
      <c r="E142" s="59">
        <f t="shared" si="2"/>
        <v>30.127</v>
      </c>
      <c r="F142" s="60"/>
    </row>
    <row r="143" ht="18.75" spans="1:6">
      <c r="A143" s="56">
        <v>20499</v>
      </c>
      <c r="B143" s="57" t="s">
        <v>209</v>
      </c>
      <c r="C143" s="58">
        <v>1696.86</v>
      </c>
      <c r="D143" s="59">
        <v>-168.0792</v>
      </c>
      <c r="E143" s="59">
        <f t="shared" si="2"/>
        <v>1528.7808</v>
      </c>
      <c r="F143" s="60"/>
    </row>
    <row r="144" ht="18.75" spans="1:6">
      <c r="A144" s="61">
        <v>2049999</v>
      </c>
      <c r="B144" s="57" t="s">
        <v>209</v>
      </c>
      <c r="C144" s="58">
        <v>1696.86</v>
      </c>
      <c r="D144" s="59">
        <v>-168.0792</v>
      </c>
      <c r="E144" s="59">
        <f t="shared" si="2"/>
        <v>1528.7808</v>
      </c>
      <c r="F144" s="60"/>
    </row>
    <row r="145" ht="18.75" spans="1:6">
      <c r="A145" s="56">
        <v>205</v>
      </c>
      <c r="B145" s="57" t="s">
        <v>210</v>
      </c>
      <c r="C145" s="58">
        <v>95726.60092</v>
      </c>
      <c r="D145" s="59">
        <f>17900.136976-5000+500</f>
        <v>13400.136976</v>
      </c>
      <c r="E145" s="59">
        <f t="shared" si="2"/>
        <v>109126.737896</v>
      </c>
      <c r="F145" s="60"/>
    </row>
    <row r="146" ht="18.75" spans="1:6">
      <c r="A146" s="56">
        <v>20501</v>
      </c>
      <c r="B146" s="57" t="s">
        <v>211</v>
      </c>
      <c r="C146" s="58">
        <v>1226.07</v>
      </c>
      <c r="D146" s="59">
        <v>130.1215</v>
      </c>
      <c r="E146" s="59">
        <f t="shared" si="2"/>
        <v>1356.1915</v>
      </c>
      <c r="F146" s="60"/>
    </row>
    <row r="147" ht="18.75" spans="1:6">
      <c r="A147" s="61">
        <v>2050101</v>
      </c>
      <c r="B147" s="57" t="s">
        <v>117</v>
      </c>
      <c r="C147" s="58">
        <v>1203.02</v>
      </c>
      <c r="D147" s="59">
        <v>43.6599000000001</v>
      </c>
      <c r="E147" s="59">
        <f t="shared" si="2"/>
        <v>1246.6799</v>
      </c>
      <c r="F147" s="60"/>
    </row>
    <row r="148" ht="18.75" spans="1:6">
      <c r="A148" s="61">
        <v>2050199</v>
      </c>
      <c r="B148" s="57" t="s">
        <v>212</v>
      </c>
      <c r="C148" s="58">
        <v>23.05</v>
      </c>
      <c r="D148" s="59">
        <v>86.4616</v>
      </c>
      <c r="E148" s="59">
        <f t="shared" si="2"/>
        <v>109.5116</v>
      </c>
      <c r="F148" s="60"/>
    </row>
    <row r="149" ht="18.75" spans="1:6">
      <c r="A149" s="56">
        <v>20502</v>
      </c>
      <c r="B149" s="57" t="s">
        <v>213</v>
      </c>
      <c r="C149" s="58">
        <v>84675.871</v>
      </c>
      <c r="D149" s="59">
        <f>20595.886288-5000</f>
        <v>15595.886288</v>
      </c>
      <c r="E149" s="59">
        <f t="shared" si="2"/>
        <v>100271.757288</v>
      </c>
      <c r="F149" s="60"/>
    </row>
    <row r="150" ht="18.75" spans="1:6">
      <c r="A150" s="61">
        <v>2050201</v>
      </c>
      <c r="B150" s="57" t="s">
        <v>214</v>
      </c>
      <c r="C150" s="58">
        <v>16171.64</v>
      </c>
      <c r="D150" s="59">
        <f>4452.868984-1000</f>
        <v>3452.868984</v>
      </c>
      <c r="E150" s="59">
        <f t="shared" si="2"/>
        <v>19624.508984</v>
      </c>
      <c r="F150" s="60"/>
    </row>
    <row r="151" ht="18.75" spans="1:6">
      <c r="A151" s="61">
        <v>2050202</v>
      </c>
      <c r="B151" s="57" t="s">
        <v>215</v>
      </c>
      <c r="C151" s="58">
        <v>37121.13</v>
      </c>
      <c r="D151" s="59">
        <f>9918.96064800001-3000</f>
        <v>6918.96064800001</v>
      </c>
      <c r="E151" s="59">
        <f t="shared" si="2"/>
        <v>44040.090648</v>
      </c>
      <c r="F151" s="60"/>
    </row>
    <row r="152" ht="18.75" spans="1:6">
      <c r="A152" s="61">
        <v>2050203</v>
      </c>
      <c r="B152" s="57" t="s">
        <v>216</v>
      </c>
      <c r="C152" s="58">
        <v>17761.42</v>
      </c>
      <c r="D152" s="59">
        <f>7604.626358-1000</f>
        <v>6604.626358</v>
      </c>
      <c r="E152" s="59">
        <f t="shared" si="2"/>
        <v>24366.046358</v>
      </c>
      <c r="F152" s="60"/>
    </row>
    <row r="153" ht="18.75" spans="1:6">
      <c r="A153" s="61">
        <v>2050204</v>
      </c>
      <c r="B153" s="57" t="s">
        <v>217</v>
      </c>
      <c r="C153" s="58">
        <v>10370.92</v>
      </c>
      <c r="D153" s="59">
        <v>1599.183317</v>
      </c>
      <c r="E153" s="59">
        <f t="shared" si="2"/>
        <v>11970.103317</v>
      </c>
      <c r="F153" s="60"/>
    </row>
    <row r="154" ht="18.75" spans="1:6">
      <c r="A154" s="61">
        <v>2050299</v>
      </c>
      <c r="B154" s="57" t="s">
        <v>218</v>
      </c>
      <c r="C154" s="58">
        <v>3250.761</v>
      </c>
      <c r="D154" s="59">
        <v>-2979.753019</v>
      </c>
      <c r="E154" s="59">
        <f t="shared" si="2"/>
        <v>271.007981</v>
      </c>
      <c r="F154" s="60"/>
    </row>
    <row r="155" ht="18.75" spans="1:6">
      <c r="A155" s="56">
        <v>20503</v>
      </c>
      <c r="B155" s="57" t="s">
        <v>219</v>
      </c>
      <c r="C155" s="58">
        <v>2750.56</v>
      </c>
      <c r="D155" s="59">
        <v>461.634859</v>
      </c>
      <c r="E155" s="59">
        <f t="shared" si="2"/>
        <v>3212.194859</v>
      </c>
      <c r="F155" s="60"/>
    </row>
    <row r="156" ht="18.75" spans="1:6">
      <c r="A156" s="61">
        <v>2050302</v>
      </c>
      <c r="B156" s="57" t="s">
        <v>220</v>
      </c>
      <c r="C156" s="58">
        <v>2750.56</v>
      </c>
      <c r="D156" s="59">
        <v>461.634859</v>
      </c>
      <c r="E156" s="59">
        <f t="shared" si="2"/>
        <v>3212.194859</v>
      </c>
      <c r="F156" s="60"/>
    </row>
    <row r="157" ht="18.75" spans="1:6">
      <c r="A157" s="56">
        <v>20507</v>
      </c>
      <c r="B157" s="57" t="s">
        <v>221</v>
      </c>
      <c r="C157" s="58">
        <v>528.54</v>
      </c>
      <c r="D157" s="59">
        <v>405.750949</v>
      </c>
      <c r="E157" s="59">
        <f t="shared" si="2"/>
        <v>934.290949</v>
      </c>
      <c r="F157" s="60"/>
    </row>
    <row r="158" ht="18.75" spans="1:6">
      <c r="A158" s="61">
        <v>2050701</v>
      </c>
      <c r="B158" s="57" t="s">
        <v>222</v>
      </c>
      <c r="C158" s="58">
        <v>528.54</v>
      </c>
      <c r="D158" s="59">
        <v>405.750949</v>
      </c>
      <c r="E158" s="59">
        <f t="shared" si="2"/>
        <v>934.290949</v>
      </c>
      <c r="F158" s="60"/>
    </row>
    <row r="159" ht="18.75" spans="1:6">
      <c r="A159" s="56">
        <v>20508</v>
      </c>
      <c r="B159" s="57" t="s">
        <v>223</v>
      </c>
      <c r="C159" s="58">
        <v>1015.29</v>
      </c>
      <c r="D159" s="59">
        <v>24.9163000000001</v>
      </c>
      <c r="E159" s="59">
        <f t="shared" si="2"/>
        <v>1040.2063</v>
      </c>
      <c r="F159" s="60"/>
    </row>
    <row r="160" ht="18.75" spans="1:6">
      <c r="A160" s="61">
        <v>2050801</v>
      </c>
      <c r="B160" s="57" t="s">
        <v>224</v>
      </c>
      <c r="C160" s="58">
        <v>650.4</v>
      </c>
      <c r="D160" s="59">
        <v>21.7107</v>
      </c>
      <c r="E160" s="59">
        <f t="shared" si="2"/>
        <v>672.1107</v>
      </c>
      <c r="F160" s="60"/>
    </row>
    <row r="161" ht="18.75" spans="1:6">
      <c r="A161" s="61">
        <v>2050802</v>
      </c>
      <c r="B161" s="57" t="s">
        <v>225</v>
      </c>
      <c r="C161" s="58">
        <v>364.9</v>
      </c>
      <c r="D161" s="59">
        <v>3.19560000000001</v>
      </c>
      <c r="E161" s="59">
        <f t="shared" si="2"/>
        <v>368.0956</v>
      </c>
      <c r="F161" s="60"/>
    </row>
    <row r="162" ht="18.75" spans="1:6">
      <c r="A162" s="56">
        <v>20509</v>
      </c>
      <c r="B162" s="57" t="s">
        <v>226</v>
      </c>
      <c r="C162" s="58">
        <v>1832</v>
      </c>
      <c r="D162" s="59">
        <v>-371.0114</v>
      </c>
      <c r="E162" s="59">
        <f t="shared" si="2"/>
        <v>1460.9886</v>
      </c>
      <c r="F162" s="60"/>
    </row>
    <row r="163" ht="18.75" spans="1:6">
      <c r="A163" s="61">
        <v>2050999</v>
      </c>
      <c r="B163" s="57" t="s">
        <v>227</v>
      </c>
      <c r="C163" s="58">
        <v>1832</v>
      </c>
      <c r="D163" s="59">
        <v>-371.0114</v>
      </c>
      <c r="E163" s="59">
        <f t="shared" si="2"/>
        <v>1460.9886</v>
      </c>
      <c r="F163" s="60"/>
    </row>
    <row r="164" ht="18.75" spans="1:6">
      <c r="A164" s="56">
        <v>20599</v>
      </c>
      <c r="B164" s="57" t="s">
        <v>228</v>
      </c>
      <c r="C164" s="58">
        <v>3698.26992</v>
      </c>
      <c r="D164" s="59">
        <f>-3347.16152+500</f>
        <v>-2847.16152</v>
      </c>
      <c r="E164" s="59">
        <f t="shared" si="2"/>
        <v>851.1084</v>
      </c>
      <c r="F164" s="60"/>
    </row>
    <row r="165" ht="18.75" spans="1:6">
      <c r="A165" s="61">
        <v>2059999</v>
      </c>
      <c r="B165" s="57" t="s">
        <v>228</v>
      </c>
      <c r="C165" s="58">
        <v>3698.26992</v>
      </c>
      <c r="D165" s="59">
        <f>-3347.16152+500</f>
        <v>-2847.16152</v>
      </c>
      <c r="E165" s="59">
        <f t="shared" si="2"/>
        <v>851.1084</v>
      </c>
      <c r="F165" s="60"/>
    </row>
    <row r="166" s="2" customFormat="1" ht="18" customHeight="1" spans="1:6">
      <c r="A166" s="56">
        <v>206</v>
      </c>
      <c r="B166" s="57" t="s">
        <v>229</v>
      </c>
      <c r="C166" s="58">
        <v>389.35</v>
      </c>
      <c r="D166" s="59">
        <f>2.5641+20</f>
        <v>22.5641</v>
      </c>
      <c r="E166" s="59">
        <f t="shared" si="2"/>
        <v>411.9141</v>
      </c>
      <c r="F166" s="63"/>
    </row>
    <row r="167" ht="18.75" spans="1:6">
      <c r="A167" s="56">
        <v>20601</v>
      </c>
      <c r="B167" s="57" t="s">
        <v>230</v>
      </c>
      <c r="C167" s="58">
        <v>50.15</v>
      </c>
      <c r="D167" s="59">
        <v>0.00160000000000338</v>
      </c>
      <c r="E167" s="59">
        <f t="shared" si="2"/>
        <v>50.1516</v>
      </c>
      <c r="F167" s="60"/>
    </row>
    <row r="168" ht="18.75" spans="1:6">
      <c r="A168" s="61">
        <v>2060101</v>
      </c>
      <c r="B168" s="57" t="s">
        <v>117</v>
      </c>
      <c r="C168" s="58">
        <v>8.15</v>
      </c>
      <c r="D168" s="59">
        <v>0.00159999999999982</v>
      </c>
      <c r="E168" s="59">
        <f t="shared" si="2"/>
        <v>8.1516</v>
      </c>
      <c r="F168" s="60"/>
    </row>
    <row r="169" ht="18.75" spans="1:6">
      <c r="A169" s="61">
        <v>2060102</v>
      </c>
      <c r="B169" s="57" t="s">
        <v>118</v>
      </c>
      <c r="C169" s="58">
        <v>42</v>
      </c>
      <c r="D169" s="59">
        <v>0</v>
      </c>
      <c r="E169" s="59">
        <f t="shared" si="2"/>
        <v>42</v>
      </c>
      <c r="F169" s="60"/>
    </row>
    <row r="170" ht="18.75" spans="1:6">
      <c r="A170" s="56">
        <v>20604</v>
      </c>
      <c r="B170" s="57" t="s">
        <v>231</v>
      </c>
      <c r="C170" s="58">
        <v>172</v>
      </c>
      <c r="D170" s="59">
        <v>-14</v>
      </c>
      <c r="E170" s="59">
        <f t="shared" si="2"/>
        <v>158</v>
      </c>
      <c r="F170" s="60"/>
    </row>
    <row r="171" ht="18.75" spans="1:6">
      <c r="A171" s="61">
        <v>2060404</v>
      </c>
      <c r="B171" s="57" t="s">
        <v>232</v>
      </c>
      <c r="C171" s="58">
        <v>172</v>
      </c>
      <c r="D171" s="59">
        <v>-14</v>
      </c>
      <c r="E171" s="59">
        <f t="shared" si="2"/>
        <v>158</v>
      </c>
      <c r="F171" s="60"/>
    </row>
    <row r="172" ht="18.75" spans="1:6">
      <c r="A172" s="56">
        <v>20607</v>
      </c>
      <c r="B172" s="57" t="s">
        <v>233</v>
      </c>
      <c r="C172" s="58">
        <v>117.2</v>
      </c>
      <c r="D172" s="59">
        <f>16.5625+20</f>
        <v>36.5625</v>
      </c>
      <c r="E172" s="59">
        <f t="shared" si="2"/>
        <v>153.7625</v>
      </c>
      <c r="F172" s="60"/>
    </row>
    <row r="173" ht="18.75" spans="1:6">
      <c r="A173" s="61">
        <v>2060701</v>
      </c>
      <c r="B173" s="57" t="s">
        <v>234</v>
      </c>
      <c r="C173" s="58">
        <v>117.2</v>
      </c>
      <c r="D173" s="59">
        <v>6.5625</v>
      </c>
      <c r="E173" s="59">
        <f t="shared" si="2"/>
        <v>123.7625</v>
      </c>
      <c r="F173" s="60"/>
    </row>
    <row r="174" ht="18.75" spans="1:6">
      <c r="A174" s="61">
        <v>2060702</v>
      </c>
      <c r="B174" s="57" t="s">
        <v>235</v>
      </c>
      <c r="C174" s="58">
        <v>0</v>
      </c>
      <c r="D174" s="59">
        <f>10+20</f>
        <v>30</v>
      </c>
      <c r="E174" s="59">
        <f t="shared" si="2"/>
        <v>30</v>
      </c>
      <c r="F174" s="60"/>
    </row>
    <row r="175" ht="18.75" spans="1:6">
      <c r="A175" s="56">
        <v>20699</v>
      </c>
      <c r="B175" s="57" t="s">
        <v>236</v>
      </c>
      <c r="C175" s="58">
        <v>50</v>
      </c>
      <c r="D175" s="59">
        <v>0</v>
      </c>
      <c r="E175" s="59">
        <f t="shared" si="2"/>
        <v>50</v>
      </c>
      <c r="F175" s="60"/>
    </row>
    <row r="176" ht="18.75" spans="1:6">
      <c r="A176" s="61">
        <v>2069999</v>
      </c>
      <c r="B176" s="57" t="s">
        <v>236</v>
      </c>
      <c r="C176" s="58">
        <v>50</v>
      </c>
      <c r="D176" s="59">
        <v>0</v>
      </c>
      <c r="E176" s="59">
        <f t="shared" si="2"/>
        <v>50</v>
      </c>
      <c r="F176" s="60"/>
    </row>
    <row r="177" ht="18.75" spans="1:6">
      <c r="A177" s="56">
        <v>207</v>
      </c>
      <c r="B177" s="57" t="s">
        <v>237</v>
      </c>
      <c r="C177" s="58">
        <v>2145.76</v>
      </c>
      <c r="D177" s="59">
        <f>3132.641838+113</f>
        <v>3245.641838</v>
      </c>
      <c r="E177" s="59">
        <f t="shared" si="2"/>
        <v>5391.401838</v>
      </c>
      <c r="F177" s="60"/>
    </row>
    <row r="178" ht="18.75" spans="1:6">
      <c r="A178" s="56">
        <v>20701</v>
      </c>
      <c r="B178" s="57" t="s">
        <v>238</v>
      </c>
      <c r="C178" s="58">
        <v>1783.18</v>
      </c>
      <c r="D178" s="59">
        <f>21.0872359999998+78</f>
        <v>99.0872359999998</v>
      </c>
      <c r="E178" s="59">
        <f t="shared" si="2"/>
        <v>1882.267236</v>
      </c>
      <c r="F178" s="60"/>
    </row>
    <row r="179" ht="18.75" spans="1:6">
      <c r="A179" s="61">
        <v>2070101</v>
      </c>
      <c r="B179" s="57" t="s">
        <v>117</v>
      </c>
      <c r="C179" s="58">
        <v>1054.16</v>
      </c>
      <c r="D179" s="59">
        <v>72.3616</v>
      </c>
      <c r="E179" s="59">
        <f t="shared" si="2"/>
        <v>1126.5216</v>
      </c>
      <c r="F179" s="60"/>
    </row>
    <row r="180" ht="18.75" spans="1:6">
      <c r="A180" s="61">
        <v>2070104</v>
      </c>
      <c r="B180" s="57" t="s">
        <v>239</v>
      </c>
      <c r="C180" s="58">
        <v>109.42</v>
      </c>
      <c r="D180" s="59">
        <v>0.00319999999999254</v>
      </c>
      <c r="E180" s="59">
        <f t="shared" si="2"/>
        <v>109.4232</v>
      </c>
      <c r="F180" s="60"/>
    </row>
    <row r="181" ht="18.75" spans="1:6">
      <c r="A181" s="61">
        <v>2070109</v>
      </c>
      <c r="B181" s="57" t="s">
        <v>240</v>
      </c>
      <c r="C181" s="58">
        <v>160.61</v>
      </c>
      <c r="D181" s="59">
        <v>64.1966</v>
      </c>
      <c r="E181" s="59">
        <f t="shared" si="2"/>
        <v>224.8066</v>
      </c>
      <c r="F181" s="60"/>
    </row>
    <row r="182" ht="18.75" spans="1:6">
      <c r="A182" s="61">
        <v>2070112</v>
      </c>
      <c r="B182" s="57" t="s">
        <v>241</v>
      </c>
      <c r="C182" s="58">
        <v>2.09</v>
      </c>
      <c r="D182" s="59">
        <v>0.00300000000000011</v>
      </c>
      <c r="E182" s="59">
        <f t="shared" si="2"/>
        <v>2.093</v>
      </c>
      <c r="F182" s="60"/>
    </row>
    <row r="183" ht="18.75" spans="1:6">
      <c r="A183" s="61">
        <v>2070113</v>
      </c>
      <c r="B183" s="57" t="s">
        <v>242</v>
      </c>
      <c r="C183" s="58">
        <v>10</v>
      </c>
      <c r="D183" s="59">
        <v>0</v>
      </c>
      <c r="E183" s="59">
        <f t="shared" si="2"/>
        <v>10</v>
      </c>
      <c r="F183" s="60"/>
    </row>
    <row r="184" ht="18.75" spans="1:6">
      <c r="A184" s="61">
        <v>2070114</v>
      </c>
      <c r="B184" s="57" t="s">
        <v>243</v>
      </c>
      <c r="C184" s="58">
        <v>94.5</v>
      </c>
      <c r="D184" s="59">
        <v>2</v>
      </c>
      <c r="E184" s="59">
        <f t="shared" si="2"/>
        <v>96.5</v>
      </c>
      <c r="F184" s="60"/>
    </row>
    <row r="185" ht="18.75" spans="1:6">
      <c r="A185" s="61">
        <v>2070199</v>
      </c>
      <c r="B185" s="57" t="s">
        <v>244</v>
      </c>
      <c r="C185" s="58">
        <v>352.4</v>
      </c>
      <c r="D185" s="59">
        <f>-117.477164+78</f>
        <v>-39.477164</v>
      </c>
      <c r="E185" s="59">
        <f t="shared" si="2"/>
        <v>312.922836</v>
      </c>
      <c r="F185" s="60"/>
    </row>
    <row r="186" ht="18.75" spans="1:6">
      <c r="A186" s="56">
        <v>20702</v>
      </c>
      <c r="B186" s="57" t="s">
        <v>245</v>
      </c>
      <c r="C186" s="58">
        <v>20</v>
      </c>
      <c r="D186" s="59">
        <f>746.45+35</f>
        <v>781.45</v>
      </c>
      <c r="E186" s="59">
        <f t="shared" si="2"/>
        <v>801.45</v>
      </c>
      <c r="F186" s="60"/>
    </row>
    <row r="187" ht="18.75" spans="1:6">
      <c r="A187" s="61">
        <v>2070204</v>
      </c>
      <c r="B187" s="57" t="s">
        <v>246</v>
      </c>
      <c r="C187" s="58">
        <v>20</v>
      </c>
      <c r="D187" s="59">
        <f>746.45+35</f>
        <v>781.45</v>
      </c>
      <c r="E187" s="59">
        <f t="shared" si="2"/>
        <v>801.45</v>
      </c>
      <c r="F187" s="60"/>
    </row>
    <row r="188" ht="18.75" spans="1:6">
      <c r="A188" s="56">
        <v>20703</v>
      </c>
      <c r="B188" s="57" t="s">
        <v>247</v>
      </c>
      <c r="C188" s="58">
        <v>137.71</v>
      </c>
      <c r="D188" s="59">
        <v>2015.995138</v>
      </c>
      <c r="E188" s="59">
        <f t="shared" si="2"/>
        <v>2153.705138</v>
      </c>
      <c r="F188" s="60"/>
    </row>
    <row r="189" ht="18.75" spans="1:6">
      <c r="A189" s="61">
        <v>2070307</v>
      </c>
      <c r="B189" s="57" t="s">
        <v>248</v>
      </c>
      <c r="C189" s="58">
        <v>137.71</v>
      </c>
      <c r="D189" s="59">
        <v>-7.00486200000003</v>
      </c>
      <c r="E189" s="59">
        <f t="shared" si="2"/>
        <v>130.705138</v>
      </c>
      <c r="F189" s="60"/>
    </row>
    <row r="190" ht="18.75" spans="1:6">
      <c r="A190" s="61">
        <v>2070399</v>
      </c>
      <c r="B190" s="57" t="s">
        <v>249</v>
      </c>
      <c r="C190" s="58">
        <v>0</v>
      </c>
      <c r="D190" s="59">
        <v>2023</v>
      </c>
      <c r="E190" s="59">
        <f t="shared" si="2"/>
        <v>2023</v>
      </c>
      <c r="F190" s="60"/>
    </row>
    <row r="191" ht="18.75" spans="1:6">
      <c r="A191" s="56">
        <v>20706</v>
      </c>
      <c r="B191" s="57" t="s">
        <v>250</v>
      </c>
      <c r="C191" s="58">
        <v>23.18</v>
      </c>
      <c r="D191" s="59">
        <v>24.9052</v>
      </c>
      <c r="E191" s="59">
        <f t="shared" si="2"/>
        <v>48.0852</v>
      </c>
      <c r="F191" s="60"/>
    </row>
    <row r="192" ht="18.75" spans="1:6">
      <c r="A192" s="61">
        <v>2070607</v>
      </c>
      <c r="B192" s="57" t="s">
        <v>251</v>
      </c>
      <c r="C192" s="58">
        <v>23.18</v>
      </c>
      <c r="D192" s="59">
        <v>24.9052</v>
      </c>
      <c r="E192" s="59">
        <f t="shared" si="2"/>
        <v>48.0852</v>
      </c>
      <c r="F192" s="60"/>
    </row>
    <row r="193" ht="18.75" spans="1:6">
      <c r="A193" s="56">
        <v>20708</v>
      </c>
      <c r="B193" s="57" t="s">
        <v>252</v>
      </c>
      <c r="C193" s="58">
        <v>0</v>
      </c>
      <c r="D193" s="59">
        <v>0</v>
      </c>
      <c r="E193" s="59">
        <f t="shared" si="2"/>
        <v>0</v>
      </c>
      <c r="F193" s="60"/>
    </row>
    <row r="194" ht="18.75" spans="1:6">
      <c r="A194" s="56">
        <v>20799</v>
      </c>
      <c r="B194" s="57" t="s">
        <v>253</v>
      </c>
      <c r="C194" s="58">
        <v>181.69</v>
      </c>
      <c r="D194" s="59">
        <v>324.204264</v>
      </c>
      <c r="E194" s="59">
        <f t="shared" si="2"/>
        <v>505.894264</v>
      </c>
      <c r="F194" s="60"/>
    </row>
    <row r="195" ht="18.75" spans="1:6">
      <c r="A195" s="61">
        <v>2079999</v>
      </c>
      <c r="B195" s="57" t="s">
        <v>253</v>
      </c>
      <c r="C195" s="58">
        <v>181.69</v>
      </c>
      <c r="D195" s="59">
        <v>324.204264</v>
      </c>
      <c r="E195" s="59">
        <f t="shared" si="2"/>
        <v>505.894264</v>
      </c>
      <c r="F195" s="60"/>
    </row>
    <row r="196" ht="18.75" spans="1:6">
      <c r="A196" s="56">
        <v>208</v>
      </c>
      <c r="B196" s="57" t="s">
        <v>254</v>
      </c>
      <c r="C196" s="58">
        <v>53275.8107</v>
      </c>
      <c r="D196" s="59">
        <f>2675.65038799999+2500+602</f>
        <v>5777.65038799999</v>
      </c>
      <c r="E196" s="59">
        <f t="shared" si="2"/>
        <v>59053.461088</v>
      </c>
      <c r="F196" s="60"/>
    </row>
    <row r="197" ht="18.75" spans="1:6">
      <c r="A197" s="56">
        <v>20801</v>
      </c>
      <c r="B197" s="57" t="s">
        <v>255</v>
      </c>
      <c r="C197" s="58">
        <v>1822.04</v>
      </c>
      <c r="D197" s="59">
        <v>79.779</v>
      </c>
      <c r="E197" s="59">
        <f t="shared" si="2"/>
        <v>1901.819</v>
      </c>
      <c r="F197" s="60"/>
    </row>
    <row r="198" ht="18.75" spans="1:6">
      <c r="A198" s="61">
        <v>2080101</v>
      </c>
      <c r="B198" s="57" t="s">
        <v>117</v>
      </c>
      <c r="C198" s="58">
        <v>1272.03</v>
      </c>
      <c r="D198" s="59">
        <v>80.6753119999998</v>
      </c>
      <c r="E198" s="59">
        <f t="shared" si="2"/>
        <v>1352.705312</v>
      </c>
      <c r="F198" s="60"/>
    </row>
    <row r="199" ht="18.75" spans="1:6">
      <c r="A199" s="61">
        <v>2080105</v>
      </c>
      <c r="B199" s="57" t="s">
        <v>256</v>
      </c>
      <c r="C199" s="58">
        <v>10</v>
      </c>
      <c r="D199" s="59">
        <v>0</v>
      </c>
      <c r="E199" s="59">
        <f t="shared" si="2"/>
        <v>10</v>
      </c>
      <c r="F199" s="60"/>
    </row>
    <row r="200" ht="18.75" spans="1:6">
      <c r="A200" s="61">
        <v>2080106</v>
      </c>
      <c r="B200" s="57" t="s">
        <v>257</v>
      </c>
      <c r="C200" s="58">
        <v>30.43</v>
      </c>
      <c r="D200" s="59">
        <v>0.00132800000000444</v>
      </c>
      <c r="E200" s="59">
        <f t="shared" ref="E200:E263" si="3">C200+D200</f>
        <v>30.431328</v>
      </c>
      <c r="F200" s="60"/>
    </row>
    <row r="201" ht="18.75" spans="1:6">
      <c r="A201" s="61">
        <v>2080112</v>
      </c>
      <c r="B201" s="57" t="s">
        <v>258</v>
      </c>
      <c r="C201" s="58">
        <v>10</v>
      </c>
      <c r="D201" s="59">
        <v>0</v>
      </c>
      <c r="E201" s="59">
        <f t="shared" si="3"/>
        <v>10</v>
      </c>
      <c r="F201" s="60"/>
    </row>
    <row r="202" ht="37.5" spans="1:6">
      <c r="A202" s="61">
        <v>2080199</v>
      </c>
      <c r="B202" s="57" t="s">
        <v>259</v>
      </c>
      <c r="C202" s="58">
        <v>499.59</v>
      </c>
      <c r="D202" s="59">
        <v>-0.907640000000015</v>
      </c>
      <c r="E202" s="59">
        <f t="shared" si="3"/>
        <v>498.68236</v>
      </c>
      <c r="F202" s="60"/>
    </row>
    <row r="203" ht="18.75" spans="1:6">
      <c r="A203" s="56">
        <v>20802</v>
      </c>
      <c r="B203" s="57" t="s">
        <v>260</v>
      </c>
      <c r="C203" s="58">
        <v>1302.6</v>
      </c>
      <c r="D203" s="59">
        <f>105.39286+25</f>
        <v>130.39286</v>
      </c>
      <c r="E203" s="59">
        <f t="shared" si="3"/>
        <v>1432.99286</v>
      </c>
      <c r="F203" s="60"/>
    </row>
    <row r="204" ht="18.75" spans="1:6">
      <c r="A204" s="61">
        <v>2080201</v>
      </c>
      <c r="B204" s="57" t="s">
        <v>117</v>
      </c>
      <c r="C204" s="58">
        <v>659.46</v>
      </c>
      <c r="D204" s="59">
        <v>88.05486</v>
      </c>
      <c r="E204" s="59">
        <f t="shared" si="3"/>
        <v>747.51486</v>
      </c>
      <c r="F204" s="60"/>
    </row>
    <row r="205" ht="18.75" spans="1:6">
      <c r="A205" s="61">
        <v>2080202</v>
      </c>
      <c r="B205" s="57" t="s">
        <v>118</v>
      </c>
      <c r="C205" s="58">
        <v>4.03</v>
      </c>
      <c r="D205" s="59">
        <v>0</v>
      </c>
      <c r="E205" s="59">
        <f t="shared" si="3"/>
        <v>4.03</v>
      </c>
      <c r="F205" s="60"/>
    </row>
    <row r="206" ht="18.75" spans="1:6">
      <c r="A206" s="61">
        <v>2080299</v>
      </c>
      <c r="B206" s="57" t="s">
        <v>261</v>
      </c>
      <c r="C206" s="58">
        <v>639.11</v>
      </c>
      <c r="D206" s="59">
        <f>17.338+25</f>
        <v>42.338</v>
      </c>
      <c r="E206" s="59">
        <f t="shared" si="3"/>
        <v>681.448</v>
      </c>
      <c r="F206" s="60"/>
    </row>
    <row r="207" ht="18.75" spans="1:6">
      <c r="A207" s="56">
        <v>20805</v>
      </c>
      <c r="B207" s="57" t="s">
        <v>262</v>
      </c>
      <c r="C207" s="58">
        <v>27012.6</v>
      </c>
      <c r="D207" s="59">
        <f>-516.107397999996+2500</f>
        <v>1983.892602</v>
      </c>
      <c r="E207" s="59">
        <f t="shared" si="3"/>
        <v>28996.492602</v>
      </c>
      <c r="F207" s="60"/>
    </row>
    <row r="208" ht="18.75" spans="1:6">
      <c r="A208" s="61">
        <v>2080501</v>
      </c>
      <c r="B208" s="57" t="s">
        <v>263</v>
      </c>
      <c r="C208" s="58">
        <v>30.54</v>
      </c>
      <c r="D208" s="59">
        <v>4.64048</v>
      </c>
      <c r="E208" s="59">
        <f t="shared" si="3"/>
        <v>35.18048</v>
      </c>
      <c r="F208" s="60"/>
    </row>
    <row r="209" ht="18.75" spans="1:6">
      <c r="A209" s="61">
        <v>2080502</v>
      </c>
      <c r="B209" s="57" t="s">
        <v>264</v>
      </c>
      <c r="C209" s="58">
        <v>19.58</v>
      </c>
      <c r="D209" s="59">
        <v>-1.1972</v>
      </c>
      <c r="E209" s="59">
        <f t="shared" si="3"/>
        <v>18.3828</v>
      </c>
      <c r="F209" s="60"/>
    </row>
    <row r="210" ht="37.5" spans="1:6">
      <c r="A210" s="61">
        <v>2080505</v>
      </c>
      <c r="B210" s="57" t="s">
        <v>265</v>
      </c>
      <c r="C210" s="58">
        <v>14377.73</v>
      </c>
      <c r="D210" s="59">
        <f>-4123.275612+2500</f>
        <v>-1623.275612</v>
      </c>
      <c r="E210" s="59">
        <f t="shared" si="3"/>
        <v>12754.454388</v>
      </c>
      <c r="F210" s="60"/>
    </row>
    <row r="211" ht="18.75" spans="1:6">
      <c r="A211" s="61">
        <v>2080506</v>
      </c>
      <c r="B211" s="57" t="s">
        <v>266</v>
      </c>
      <c r="C211" s="58">
        <v>8855.63</v>
      </c>
      <c r="D211" s="59">
        <v>103.734134</v>
      </c>
      <c r="E211" s="59">
        <f t="shared" si="3"/>
        <v>8959.364134</v>
      </c>
      <c r="F211" s="60"/>
    </row>
    <row r="212" ht="37.5" spans="1:6">
      <c r="A212" s="61">
        <v>2080507</v>
      </c>
      <c r="B212" s="57" t="s">
        <v>267</v>
      </c>
      <c r="C212" s="58">
        <v>3647</v>
      </c>
      <c r="D212" s="59">
        <v>3500</v>
      </c>
      <c r="E212" s="59">
        <f t="shared" si="3"/>
        <v>7147</v>
      </c>
      <c r="F212" s="60"/>
    </row>
    <row r="213" ht="18.75" spans="1:6">
      <c r="A213" s="61">
        <v>2080508</v>
      </c>
      <c r="B213" s="57" t="s">
        <v>268</v>
      </c>
      <c r="C213" s="58">
        <v>29.3</v>
      </c>
      <c r="D213" s="59">
        <v>0</v>
      </c>
      <c r="E213" s="59">
        <f t="shared" si="3"/>
        <v>29.3</v>
      </c>
      <c r="F213" s="60"/>
    </row>
    <row r="214" ht="18.75" spans="1:6">
      <c r="A214" s="61">
        <v>2080599</v>
      </c>
      <c r="B214" s="57" t="s">
        <v>269</v>
      </c>
      <c r="C214" s="58">
        <v>52.81</v>
      </c>
      <c r="D214" s="59">
        <v>0.000799999999998136</v>
      </c>
      <c r="E214" s="59">
        <f t="shared" si="3"/>
        <v>52.8108</v>
      </c>
      <c r="F214" s="60"/>
    </row>
    <row r="215" ht="18.75" spans="1:6">
      <c r="A215" s="56">
        <v>20807</v>
      </c>
      <c r="B215" s="57" t="s">
        <v>270</v>
      </c>
      <c r="C215" s="58">
        <v>2062.79</v>
      </c>
      <c r="D215" s="59">
        <v>1152.499603</v>
      </c>
      <c r="E215" s="59">
        <f t="shared" si="3"/>
        <v>3215.289603</v>
      </c>
      <c r="F215" s="60"/>
    </row>
    <row r="216" ht="18.75" spans="1:6">
      <c r="A216" s="61">
        <v>2080701</v>
      </c>
      <c r="B216" s="57" t="s">
        <v>271</v>
      </c>
      <c r="C216" s="58">
        <v>0</v>
      </c>
      <c r="D216" s="59">
        <v>12</v>
      </c>
      <c r="E216" s="59">
        <f t="shared" si="3"/>
        <v>12</v>
      </c>
      <c r="F216" s="60"/>
    </row>
    <row r="217" ht="18.75" spans="1:6">
      <c r="A217" s="61">
        <v>2080702</v>
      </c>
      <c r="B217" s="57" t="s">
        <v>272</v>
      </c>
      <c r="C217" s="58">
        <v>8.57</v>
      </c>
      <c r="D217" s="59">
        <v>210.004</v>
      </c>
      <c r="E217" s="59">
        <f t="shared" si="3"/>
        <v>218.574</v>
      </c>
      <c r="F217" s="60"/>
    </row>
    <row r="218" ht="18.75" spans="1:6">
      <c r="A218" s="61">
        <v>2080704</v>
      </c>
      <c r="B218" s="57" t="s">
        <v>273</v>
      </c>
      <c r="C218" s="58">
        <v>215.46</v>
      </c>
      <c r="D218" s="59">
        <v>797.999203</v>
      </c>
      <c r="E218" s="59">
        <f t="shared" si="3"/>
        <v>1013.459203</v>
      </c>
      <c r="F218" s="60"/>
    </row>
    <row r="219" ht="18.75" spans="1:6">
      <c r="A219" s="61">
        <v>2080705</v>
      </c>
      <c r="B219" s="57" t="s">
        <v>274</v>
      </c>
      <c r="C219" s="58">
        <v>145.9</v>
      </c>
      <c r="D219" s="59">
        <v>1476.5008</v>
      </c>
      <c r="E219" s="59">
        <f t="shared" si="3"/>
        <v>1622.4008</v>
      </c>
      <c r="F219" s="60"/>
    </row>
    <row r="220" ht="18.75" spans="1:6">
      <c r="A220" s="61">
        <v>2080711</v>
      </c>
      <c r="B220" s="57" t="s">
        <v>275</v>
      </c>
      <c r="C220" s="58">
        <v>0.69</v>
      </c>
      <c r="D220" s="59">
        <v>-0.00439999999999996</v>
      </c>
      <c r="E220" s="59">
        <f t="shared" si="3"/>
        <v>0.6856</v>
      </c>
      <c r="F220" s="60"/>
    </row>
    <row r="221" ht="18.75" spans="1:6">
      <c r="A221" s="61">
        <v>2080713</v>
      </c>
      <c r="B221" s="57" t="s">
        <v>276</v>
      </c>
      <c r="C221" s="58">
        <v>0</v>
      </c>
      <c r="D221" s="59">
        <v>80</v>
      </c>
      <c r="E221" s="59">
        <f t="shared" si="3"/>
        <v>80</v>
      </c>
      <c r="F221" s="60"/>
    </row>
    <row r="222" ht="18.75" spans="1:6">
      <c r="A222" s="61">
        <v>2080799</v>
      </c>
      <c r="B222" s="57" t="s">
        <v>277</v>
      </c>
      <c r="C222" s="58">
        <v>1692.17</v>
      </c>
      <c r="D222" s="59">
        <v>-1424</v>
      </c>
      <c r="E222" s="59">
        <f t="shared" si="3"/>
        <v>268.17</v>
      </c>
      <c r="F222" s="60"/>
    </row>
    <row r="223" ht="18.75" spans="1:6">
      <c r="A223" s="56">
        <v>20808</v>
      </c>
      <c r="B223" s="57" t="s">
        <v>278</v>
      </c>
      <c r="C223" s="58">
        <v>9206.68</v>
      </c>
      <c r="D223" s="59">
        <v>-4823.66538</v>
      </c>
      <c r="E223" s="59">
        <f t="shared" si="3"/>
        <v>4383.01462</v>
      </c>
      <c r="F223" s="60"/>
    </row>
    <row r="224" ht="18.75" spans="1:6">
      <c r="A224" s="61">
        <v>2080801</v>
      </c>
      <c r="B224" s="57" t="s">
        <v>279</v>
      </c>
      <c r="C224" s="58">
        <v>0</v>
      </c>
      <c r="D224" s="59">
        <v>73.98294</v>
      </c>
      <c r="E224" s="59">
        <f t="shared" si="3"/>
        <v>73.98294</v>
      </c>
      <c r="F224" s="60"/>
    </row>
    <row r="225" ht="18.75" spans="1:6">
      <c r="A225" s="61">
        <v>2080802</v>
      </c>
      <c r="B225" s="57" t="s">
        <v>280</v>
      </c>
      <c r="C225" s="58">
        <v>0</v>
      </c>
      <c r="D225" s="59">
        <v>3.3996</v>
      </c>
      <c r="E225" s="59">
        <f t="shared" si="3"/>
        <v>3.3996</v>
      </c>
      <c r="F225" s="60"/>
    </row>
    <row r="226" ht="18.75" spans="1:6">
      <c r="A226" s="61">
        <v>2080803</v>
      </c>
      <c r="B226" s="57" t="s">
        <v>281</v>
      </c>
      <c r="C226" s="58">
        <v>720.3</v>
      </c>
      <c r="D226" s="59">
        <v>2285.64368</v>
      </c>
      <c r="E226" s="59">
        <f t="shared" si="3"/>
        <v>3005.94368</v>
      </c>
      <c r="F226" s="60"/>
    </row>
    <row r="227" ht="18.75" spans="1:6">
      <c r="A227" s="61">
        <v>2080805</v>
      </c>
      <c r="B227" s="57" t="s">
        <v>282</v>
      </c>
      <c r="C227" s="58">
        <v>340</v>
      </c>
      <c r="D227" s="59">
        <v>398.8808</v>
      </c>
      <c r="E227" s="59">
        <f t="shared" si="3"/>
        <v>738.8808</v>
      </c>
      <c r="F227" s="60"/>
    </row>
    <row r="228" ht="18.75" spans="1:6">
      <c r="A228" s="61">
        <v>2080806</v>
      </c>
      <c r="B228" s="57" t="s">
        <v>283</v>
      </c>
      <c r="C228" s="58">
        <v>25.97</v>
      </c>
      <c r="D228" s="59">
        <v>0</v>
      </c>
      <c r="E228" s="59">
        <f t="shared" si="3"/>
        <v>25.97</v>
      </c>
      <c r="F228" s="60"/>
    </row>
    <row r="229" ht="18.75" spans="1:6">
      <c r="A229" s="61">
        <v>2080808</v>
      </c>
      <c r="B229" s="57" t="s">
        <v>284</v>
      </c>
      <c r="C229" s="58">
        <v>2</v>
      </c>
      <c r="D229" s="59">
        <v>4.0526</v>
      </c>
      <c r="E229" s="59">
        <f t="shared" si="3"/>
        <v>6.0526</v>
      </c>
      <c r="F229" s="60"/>
    </row>
    <row r="230" ht="18.75" spans="1:6">
      <c r="A230" s="61">
        <v>2080899</v>
      </c>
      <c r="B230" s="57" t="s">
        <v>285</v>
      </c>
      <c r="C230" s="58">
        <v>8118.41</v>
      </c>
      <c r="D230" s="59">
        <v>-7589.625</v>
      </c>
      <c r="E230" s="59">
        <f t="shared" si="3"/>
        <v>528.785</v>
      </c>
      <c r="F230" s="60"/>
    </row>
    <row r="231" ht="18.75" spans="1:6">
      <c r="A231" s="56">
        <v>20809</v>
      </c>
      <c r="B231" s="57" t="s">
        <v>286</v>
      </c>
      <c r="C231" s="58">
        <v>169</v>
      </c>
      <c r="D231" s="59">
        <v>158.1588</v>
      </c>
      <c r="E231" s="59">
        <f t="shared" si="3"/>
        <v>327.1588</v>
      </c>
      <c r="F231" s="60"/>
    </row>
    <row r="232" ht="18.75" spans="1:6">
      <c r="A232" s="61">
        <v>2080901</v>
      </c>
      <c r="B232" s="57" t="s">
        <v>287</v>
      </c>
      <c r="C232" s="58">
        <v>94</v>
      </c>
      <c r="D232" s="59">
        <v>87.7608</v>
      </c>
      <c r="E232" s="59">
        <f t="shared" si="3"/>
        <v>181.7608</v>
      </c>
      <c r="F232" s="60"/>
    </row>
    <row r="233" ht="18.75" spans="1:6">
      <c r="A233" s="61">
        <v>2080902</v>
      </c>
      <c r="B233" s="57" t="s">
        <v>288</v>
      </c>
      <c r="C233" s="58">
        <v>62</v>
      </c>
      <c r="D233" s="59">
        <v>55.1</v>
      </c>
      <c r="E233" s="59">
        <f t="shared" si="3"/>
        <v>117.1</v>
      </c>
      <c r="F233" s="60"/>
    </row>
    <row r="234" ht="18.75" spans="1:6">
      <c r="A234" s="61">
        <v>2080903</v>
      </c>
      <c r="B234" s="57" t="s">
        <v>289</v>
      </c>
      <c r="C234" s="58">
        <v>0</v>
      </c>
      <c r="D234" s="59">
        <v>0.74</v>
      </c>
      <c r="E234" s="59">
        <f t="shared" si="3"/>
        <v>0.74</v>
      </c>
      <c r="F234" s="60"/>
    </row>
    <row r="235" ht="18.75" spans="1:6">
      <c r="A235" s="61">
        <v>2080905</v>
      </c>
      <c r="B235" s="57" t="s">
        <v>290</v>
      </c>
      <c r="C235" s="58">
        <v>7</v>
      </c>
      <c r="D235" s="59">
        <v>14.558</v>
      </c>
      <c r="E235" s="59">
        <f t="shared" si="3"/>
        <v>21.558</v>
      </c>
      <c r="F235" s="60"/>
    </row>
    <row r="236" ht="18.75" spans="1:6">
      <c r="A236" s="61">
        <v>2080999</v>
      </c>
      <c r="B236" s="57" t="s">
        <v>291</v>
      </c>
      <c r="C236" s="58">
        <v>6</v>
      </c>
      <c r="D236" s="59">
        <v>0</v>
      </c>
      <c r="E236" s="59">
        <f t="shared" si="3"/>
        <v>6</v>
      </c>
      <c r="F236" s="60"/>
    </row>
    <row r="237" ht="18.75" spans="1:6">
      <c r="A237" s="56">
        <v>20810</v>
      </c>
      <c r="B237" s="57" t="s">
        <v>292</v>
      </c>
      <c r="C237" s="58">
        <v>1910.4387</v>
      </c>
      <c r="D237" s="59">
        <f>474.22+77</f>
        <v>551.22</v>
      </c>
      <c r="E237" s="59">
        <f t="shared" si="3"/>
        <v>2461.6587</v>
      </c>
      <c r="F237" s="60"/>
    </row>
    <row r="238" ht="18.75" spans="1:6">
      <c r="A238" s="61">
        <v>2081001</v>
      </c>
      <c r="B238" s="57" t="s">
        <v>293</v>
      </c>
      <c r="C238" s="58">
        <v>437.91</v>
      </c>
      <c r="D238" s="59">
        <v>456.998</v>
      </c>
      <c r="E238" s="59">
        <f t="shared" si="3"/>
        <v>894.908</v>
      </c>
      <c r="F238" s="60"/>
    </row>
    <row r="239" ht="18.75" spans="1:6">
      <c r="A239" s="61">
        <v>2081002</v>
      </c>
      <c r="B239" s="57" t="s">
        <v>294</v>
      </c>
      <c r="C239" s="58">
        <v>722.7187</v>
      </c>
      <c r="D239" s="59">
        <v>34.5599999999999</v>
      </c>
      <c r="E239" s="59">
        <f t="shared" si="3"/>
        <v>757.2787</v>
      </c>
      <c r="F239" s="60"/>
    </row>
    <row r="240" ht="18.75" spans="1:6">
      <c r="A240" s="61">
        <v>2081004</v>
      </c>
      <c r="B240" s="57" t="s">
        <v>295</v>
      </c>
      <c r="C240" s="58">
        <v>474.75</v>
      </c>
      <c r="D240" s="59">
        <f>-17.338+36</f>
        <v>18.662</v>
      </c>
      <c r="E240" s="59">
        <f t="shared" si="3"/>
        <v>493.412</v>
      </c>
      <c r="F240" s="60"/>
    </row>
    <row r="241" ht="18.75" spans="1:6">
      <c r="A241" s="61">
        <v>2081006</v>
      </c>
      <c r="B241" s="57" t="s">
        <v>296</v>
      </c>
      <c r="C241" s="58">
        <v>275.06</v>
      </c>
      <c r="D241" s="59">
        <f>0+41</f>
        <v>41</v>
      </c>
      <c r="E241" s="59">
        <f t="shared" si="3"/>
        <v>316.06</v>
      </c>
      <c r="F241" s="60"/>
    </row>
    <row r="242" ht="18.75" spans="1:6">
      <c r="A242" s="56">
        <v>20811</v>
      </c>
      <c r="B242" s="57" t="s">
        <v>297</v>
      </c>
      <c r="C242" s="58">
        <v>1295.368</v>
      </c>
      <c r="D242" s="59">
        <v>252.68284</v>
      </c>
      <c r="E242" s="59">
        <f t="shared" si="3"/>
        <v>1548.05084</v>
      </c>
      <c r="F242" s="60"/>
    </row>
    <row r="243" ht="18.75" spans="1:6">
      <c r="A243" s="61">
        <v>2081101</v>
      </c>
      <c r="B243" s="57" t="s">
        <v>117</v>
      </c>
      <c r="C243" s="58">
        <v>138.66</v>
      </c>
      <c r="D243" s="59">
        <v>6.63594000000001</v>
      </c>
      <c r="E243" s="59">
        <f t="shared" si="3"/>
        <v>145.29594</v>
      </c>
      <c r="F243" s="60"/>
    </row>
    <row r="244" ht="18.75" spans="1:6">
      <c r="A244" s="61">
        <v>2081104</v>
      </c>
      <c r="B244" s="57" t="s">
        <v>298</v>
      </c>
      <c r="C244" s="58">
        <v>158.072</v>
      </c>
      <c r="D244" s="59">
        <v>75.8113</v>
      </c>
      <c r="E244" s="59">
        <f t="shared" si="3"/>
        <v>233.8833</v>
      </c>
      <c r="F244" s="60"/>
    </row>
    <row r="245" ht="18.75" spans="1:6">
      <c r="A245" s="61">
        <v>2081105</v>
      </c>
      <c r="B245" s="57" t="s">
        <v>299</v>
      </c>
      <c r="C245" s="58">
        <v>86.024</v>
      </c>
      <c r="D245" s="59">
        <v>118.86</v>
      </c>
      <c r="E245" s="59">
        <f t="shared" si="3"/>
        <v>204.884</v>
      </c>
      <c r="F245" s="60"/>
    </row>
    <row r="246" ht="18.75" spans="1:6">
      <c r="A246" s="61">
        <v>2081106</v>
      </c>
      <c r="B246" s="57" t="s">
        <v>300</v>
      </c>
      <c r="C246" s="58">
        <v>22</v>
      </c>
      <c r="D246" s="59">
        <v>0</v>
      </c>
      <c r="E246" s="59">
        <f t="shared" si="3"/>
        <v>22</v>
      </c>
      <c r="F246" s="60"/>
    </row>
    <row r="247" ht="18.75" spans="1:6">
      <c r="A247" s="61">
        <v>2081107</v>
      </c>
      <c r="B247" s="57" t="s">
        <v>301</v>
      </c>
      <c r="C247" s="58">
        <v>723.56</v>
      </c>
      <c r="D247" s="59">
        <v>85.003</v>
      </c>
      <c r="E247" s="59">
        <f t="shared" si="3"/>
        <v>808.563</v>
      </c>
      <c r="F247" s="60"/>
    </row>
    <row r="248" ht="18.75" spans="1:6">
      <c r="A248" s="61">
        <v>2081199</v>
      </c>
      <c r="B248" s="57" t="s">
        <v>302</v>
      </c>
      <c r="C248" s="58">
        <v>167.052</v>
      </c>
      <c r="D248" s="59">
        <v>-33.6274</v>
      </c>
      <c r="E248" s="59">
        <f t="shared" si="3"/>
        <v>133.4246</v>
      </c>
      <c r="F248" s="60"/>
    </row>
    <row r="249" ht="18.75" spans="1:6">
      <c r="A249" s="56">
        <v>20816</v>
      </c>
      <c r="B249" s="57" t="s">
        <v>303</v>
      </c>
      <c r="C249" s="58">
        <v>94.67</v>
      </c>
      <c r="D249" s="59">
        <v>3.67999999999999</v>
      </c>
      <c r="E249" s="59">
        <f t="shared" si="3"/>
        <v>98.35</v>
      </c>
      <c r="F249" s="60"/>
    </row>
    <row r="250" ht="18.75" spans="1:6">
      <c r="A250" s="61">
        <v>2081601</v>
      </c>
      <c r="B250" s="57" t="s">
        <v>117</v>
      </c>
      <c r="C250" s="58">
        <v>94.67</v>
      </c>
      <c r="D250" s="59">
        <v>3.67999999999999</v>
      </c>
      <c r="E250" s="59">
        <f t="shared" si="3"/>
        <v>98.35</v>
      </c>
      <c r="F250" s="60"/>
    </row>
    <row r="251" ht="18.75" spans="1:6">
      <c r="A251" s="56">
        <v>20819</v>
      </c>
      <c r="B251" s="57" t="s">
        <v>304</v>
      </c>
      <c r="C251" s="58">
        <v>740.57</v>
      </c>
      <c r="D251" s="59">
        <f>4013.696+150</f>
        <v>4163.696</v>
      </c>
      <c r="E251" s="59">
        <f t="shared" si="3"/>
        <v>4904.266</v>
      </c>
      <c r="F251" s="60"/>
    </row>
    <row r="252" ht="18.75" spans="1:6">
      <c r="A252" s="61">
        <v>2081901</v>
      </c>
      <c r="B252" s="57" t="s">
        <v>305</v>
      </c>
      <c r="C252" s="58">
        <v>740.57</v>
      </c>
      <c r="D252" s="59">
        <f>4013.696+150</f>
        <v>4163.696</v>
      </c>
      <c r="E252" s="59">
        <f t="shared" si="3"/>
        <v>4904.266</v>
      </c>
      <c r="F252" s="60"/>
    </row>
    <row r="253" ht="18.75" spans="1:6">
      <c r="A253" s="56">
        <v>20820</v>
      </c>
      <c r="B253" s="57" t="s">
        <v>306</v>
      </c>
      <c r="C253" s="58">
        <v>108.88</v>
      </c>
      <c r="D253" s="59">
        <v>49.301478</v>
      </c>
      <c r="E253" s="59">
        <f t="shared" si="3"/>
        <v>158.181478</v>
      </c>
      <c r="F253" s="60"/>
    </row>
    <row r="254" ht="18.75" spans="1:6">
      <c r="A254" s="61">
        <v>2082001</v>
      </c>
      <c r="B254" s="57" t="s">
        <v>307</v>
      </c>
      <c r="C254" s="58">
        <v>108.42</v>
      </c>
      <c r="D254" s="59">
        <v>47.004778</v>
      </c>
      <c r="E254" s="59">
        <f t="shared" si="3"/>
        <v>155.424778</v>
      </c>
      <c r="F254" s="60"/>
    </row>
    <row r="255" ht="18.75" spans="1:6">
      <c r="A255" s="61">
        <v>2082002</v>
      </c>
      <c r="B255" s="57" t="s">
        <v>308</v>
      </c>
      <c r="C255" s="58">
        <v>0.46</v>
      </c>
      <c r="D255" s="59">
        <v>2.2967</v>
      </c>
      <c r="E255" s="59">
        <f t="shared" si="3"/>
        <v>2.7567</v>
      </c>
      <c r="F255" s="60"/>
    </row>
    <row r="256" ht="18.75" spans="1:6">
      <c r="A256" s="56">
        <v>20821</v>
      </c>
      <c r="B256" s="57" t="s">
        <v>309</v>
      </c>
      <c r="C256" s="58">
        <v>1128.27</v>
      </c>
      <c r="D256" s="59">
        <f>2758.9985+350</f>
        <v>3108.9985</v>
      </c>
      <c r="E256" s="59">
        <f t="shared" si="3"/>
        <v>4237.2685</v>
      </c>
      <c r="F256" s="60"/>
    </row>
    <row r="257" ht="18.75" spans="1:6">
      <c r="A257" s="61">
        <v>2082101</v>
      </c>
      <c r="B257" s="57" t="s">
        <v>310</v>
      </c>
      <c r="C257" s="58">
        <v>73</v>
      </c>
      <c r="D257" s="59">
        <v>-73</v>
      </c>
      <c r="E257" s="59">
        <f t="shared" si="3"/>
        <v>0</v>
      </c>
      <c r="F257" s="60"/>
    </row>
    <row r="258" ht="18.75" spans="1:6">
      <c r="A258" s="61">
        <v>2082102</v>
      </c>
      <c r="B258" s="57" t="s">
        <v>311</v>
      </c>
      <c r="C258" s="58">
        <v>1055.27</v>
      </c>
      <c r="D258" s="59">
        <f>2831.9985+350</f>
        <v>3181.9985</v>
      </c>
      <c r="E258" s="59">
        <f t="shared" si="3"/>
        <v>4237.2685</v>
      </c>
      <c r="F258" s="60"/>
    </row>
    <row r="259" ht="18.75" spans="1:6">
      <c r="A259" s="56">
        <v>20825</v>
      </c>
      <c r="B259" s="57" t="s">
        <v>312</v>
      </c>
      <c r="C259" s="58">
        <v>166.22</v>
      </c>
      <c r="D259" s="59">
        <v>0</v>
      </c>
      <c r="E259" s="59">
        <f t="shared" si="3"/>
        <v>166.22</v>
      </c>
      <c r="F259" s="60"/>
    </row>
    <row r="260" ht="18.75" spans="1:6">
      <c r="A260" s="61">
        <v>2082501</v>
      </c>
      <c r="B260" s="57" t="s">
        <v>313</v>
      </c>
      <c r="C260" s="58">
        <v>21.73</v>
      </c>
      <c r="D260" s="59">
        <v>0</v>
      </c>
      <c r="E260" s="59">
        <f t="shared" si="3"/>
        <v>21.73</v>
      </c>
      <c r="F260" s="60"/>
    </row>
    <row r="261" ht="18.75" spans="1:6">
      <c r="A261" s="61">
        <v>2082502</v>
      </c>
      <c r="B261" s="57" t="s">
        <v>314</v>
      </c>
      <c r="C261" s="58">
        <v>144.49</v>
      </c>
      <c r="D261" s="59">
        <v>0</v>
      </c>
      <c r="E261" s="59">
        <f t="shared" si="3"/>
        <v>144.49</v>
      </c>
      <c r="F261" s="60"/>
    </row>
    <row r="262" ht="18.75" spans="1:6">
      <c r="A262" s="56">
        <v>20826</v>
      </c>
      <c r="B262" s="57" t="s">
        <v>315</v>
      </c>
      <c r="C262" s="58">
        <v>3787.26</v>
      </c>
      <c r="D262" s="59">
        <v>0</v>
      </c>
      <c r="E262" s="59">
        <f t="shared" si="3"/>
        <v>3787.26</v>
      </c>
      <c r="F262" s="60"/>
    </row>
    <row r="263" ht="37.5" spans="1:6">
      <c r="A263" s="61">
        <v>2082601</v>
      </c>
      <c r="B263" s="57" t="s">
        <v>316</v>
      </c>
      <c r="C263" s="58">
        <v>99.21</v>
      </c>
      <c r="D263" s="59">
        <v>0</v>
      </c>
      <c r="E263" s="59">
        <f t="shared" si="3"/>
        <v>99.21</v>
      </c>
      <c r="F263" s="60"/>
    </row>
    <row r="264" ht="37.5" spans="1:6">
      <c r="A264" s="61">
        <v>2082602</v>
      </c>
      <c r="B264" s="57" t="s">
        <v>317</v>
      </c>
      <c r="C264" s="58">
        <v>3688.05</v>
      </c>
      <c r="D264" s="59">
        <v>0</v>
      </c>
      <c r="E264" s="59">
        <f t="shared" ref="E264:E327" si="4">C264+D264</f>
        <v>3688.05</v>
      </c>
      <c r="F264" s="60"/>
    </row>
    <row r="265" ht="18.75" spans="1:6">
      <c r="A265" s="56">
        <v>20828</v>
      </c>
      <c r="B265" s="57" t="s">
        <v>318</v>
      </c>
      <c r="C265" s="58">
        <v>321.13</v>
      </c>
      <c r="D265" s="59">
        <v>15.9577</v>
      </c>
      <c r="E265" s="59">
        <f t="shared" si="4"/>
        <v>337.0877</v>
      </c>
      <c r="F265" s="60"/>
    </row>
    <row r="266" ht="18.75" spans="1:6">
      <c r="A266" s="61">
        <v>2082801</v>
      </c>
      <c r="B266" s="57" t="s">
        <v>117</v>
      </c>
      <c r="C266" s="58">
        <v>291.13</v>
      </c>
      <c r="D266" s="59">
        <v>17.6022</v>
      </c>
      <c r="E266" s="59">
        <f t="shared" si="4"/>
        <v>308.7322</v>
      </c>
      <c r="F266" s="60"/>
    </row>
    <row r="267" ht="18.75" spans="1:6">
      <c r="A267" s="61">
        <v>2082899</v>
      </c>
      <c r="B267" s="57" t="s">
        <v>319</v>
      </c>
      <c r="C267" s="58">
        <v>30</v>
      </c>
      <c r="D267" s="59">
        <v>-1.6445</v>
      </c>
      <c r="E267" s="59">
        <f t="shared" si="4"/>
        <v>28.3555</v>
      </c>
      <c r="F267" s="60"/>
    </row>
    <row r="268" ht="18.75" spans="1:6">
      <c r="A268" s="56">
        <v>20899</v>
      </c>
      <c r="B268" s="57" t="s">
        <v>320</v>
      </c>
      <c r="C268" s="58">
        <v>2147.294</v>
      </c>
      <c r="D268" s="59">
        <v>-1048.943615</v>
      </c>
      <c r="E268" s="59">
        <f t="shared" si="4"/>
        <v>1098.350385</v>
      </c>
      <c r="F268" s="60"/>
    </row>
    <row r="269" ht="18.75" spans="1:6">
      <c r="A269" s="61">
        <v>2089999</v>
      </c>
      <c r="B269" s="57" t="s">
        <v>320</v>
      </c>
      <c r="C269" s="58">
        <v>2147.294</v>
      </c>
      <c r="D269" s="59">
        <v>-1048.943615</v>
      </c>
      <c r="E269" s="59">
        <f t="shared" si="4"/>
        <v>1098.350385</v>
      </c>
      <c r="F269" s="60"/>
    </row>
    <row r="270" ht="18.75" spans="1:6">
      <c r="A270" s="56">
        <v>210</v>
      </c>
      <c r="B270" s="57" t="s">
        <v>321</v>
      </c>
      <c r="C270" s="58">
        <v>38998.406</v>
      </c>
      <c r="D270" s="59">
        <f>-1146.610163+2500</f>
        <v>1353.389837</v>
      </c>
      <c r="E270" s="59">
        <f t="shared" si="4"/>
        <v>40351.795837</v>
      </c>
      <c r="F270" s="60"/>
    </row>
    <row r="271" ht="18.75" spans="1:6">
      <c r="A271" s="56">
        <v>21001</v>
      </c>
      <c r="B271" s="57" t="s">
        <v>322</v>
      </c>
      <c r="C271" s="58">
        <v>917.56</v>
      </c>
      <c r="D271" s="59">
        <v>15.3708</v>
      </c>
      <c r="E271" s="59">
        <f t="shared" si="4"/>
        <v>932.9308</v>
      </c>
      <c r="F271" s="60"/>
    </row>
    <row r="272" ht="18.75" spans="1:6">
      <c r="A272" s="61">
        <v>2100101</v>
      </c>
      <c r="B272" s="57" t="s">
        <v>117</v>
      </c>
      <c r="C272" s="58">
        <v>832.96</v>
      </c>
      <c r="D272" s="59">
        <v>15.3707999999999</v>
      </c>
      <c r="E272" s="59">
        <f t="shared" si="4"/>
        <v>848.3308</v>
      </c>
      <c r="F272" s="60"/>
    </row>
    <row r="273" ht="18.75" spans="1:6">
      <c r="A273" s="61">
        <v>2100199</v>
      </c>
      <c r="B273" s="57" t="s">
        <v>323</v>
      </c>
      <c r="C273" s="58">
        <v>84.6</v>
      </c>
      <c r="D273" s="59">
        <v>0</v>
      </c>
      <c r="E273" s="59">
        <f t="shared" si="4"/>
        <v>84.6</v>
      </c>
      <c r="F273" s="60"/>
    </row>
    <row r="274" ht="18.75" spans="1:6">
      <c r="A274" s="56">
        <v>21002</v>
      </c>
      <c r="B274" s="57" t="s">
        <v>324</v>
      </c>
      <c r="C274" s="58">
        <v>3635.91</v>
      </c>
      <c r="D274" s="59">
        <v>81.8091799999997</v>
      </c>
      <c r="E274" s="59">
        <f t="shared" si="4"/>
        <v>3717.71918</v>
      </c>
      <c r="F274" s="60"/>
    </row>
    <row r="275" ht="18.75" spans="1:6">
      <c r="A275" s="61">
        <v>2100201</v>
      </c>
      <c r="B275" s="57" t="s">
        <v>325</v>
      </c>
      <c r="C275" s="58">
        <v>2481.28</v>
      </c>
      <c r="D275" s="59">
        <v>49.80726</v>
      </c>
      <c r="E275" s="59">
        <f t="shared" si="4"/>
        <v>2531.08726</v>
      </c>
      <c r="F275" s="60"/>
    </row>
    <row r="276" ht="18.75" spans="1:6">
      <c r="A276" s="61">
        <v>2100202</v>
      </c>
      <c r="B276" s="57" t="s">
        <v>326</v>
      </c>
      <c r="C276" s="58">
        <v>1054.68</v>
      </c>
      <c r="D276" s="59">
        <v>32.0019199999999</v>
      </c>
      <c r="E276" s="59">
        <f t="shared" si="4"/>
        <v>1086.68192</v>
      </c>
      <c r="F276" s="60"/>
    </row>
    <row r="277" ht="18.75" spans="1:6">
      <c r="A277" s="61">
        <v>2100299</v>
      </c>
      <c r="B277" s="57" t="s">
        <v>327</v>
      </c>
      <c r="C277" s="58">
        <v>99.95</v>
      </c>
      <c r="D277" s="59">
        <v>0</v>
      </c>
      <c r="E277" s="59">
        <f t="shared" si="4"/>
        <v>99.95</v>
      </c>
      <c r="F277" s="60"/>
    </row>
    <row r="278" ht="18.75" spans="1:6">
      <c r="A278" s="56">
        <v>21003</v>
      </c>
      <c r="B278" s="57" t="s">
        <v>328</v>
      </c>
      <c r="C278" s="58">
        <v>6402.95</v>
      </c>
      <c r="D278" s="59">
        <v>718.72096</v>
      </c>
      <c r="E278" s="59">
        <f t="shared" si="4"/>
        <v>7121.67096</v>
      </c>
      <c r="F278" s="60"/>
    </row>
    <row r="279" ht="18.75" spans="1:6">
      <c r="A279" s="61">
        <v>2100302</v>
      </c>
      <c r="B279" s="57" t="s">
        <v>329</v>
      </c>
      <c r="C279" s="58">
        <v>6282.95</v>
      </c>
      <c r="D279" s="59">
        <v>718.72096</v>
      </c>
      <c r="E279" s="59">
        <f t="shared" si="4"/>
        <v>7001.67096</v>
      </c>
      <c r="F279" s="60"/>
    </row>
    <row r="280" ht="18.75" spans="1:6">
      <c r="A280" s="61">
        <v>2100399</v>
      </c>
      <c r="B280" s="57" t="s">
        <v>330</v>
      </c>
      <c r="C280" s="58">
        <v>120</v>
      </c>
      <c r="D280" s="59">
        <v>0</v>
      </c>
      <c r="E280" s="59">
        <f t="shared" si="4"/>
        <v>120</v>
      </c>
      <c r="F280" s="60"/>
    </row>
    <row r="281" ht="18.75" spans="1:6">
      <c r="A281" s="56">
        <v>21004</v>
      </c>
      <c r="B281" s="57" t="s">
        <v>331</v>
      </c>
      <c r="C281" s="58">
        <v>6185.25</v>
      </c>
      <c r="D281" s="59">
        <v>877.348112000001</v>
      </c>
      <c r="E281" s="59">
        <f t="shared" si="4"/>
        <v>7062.598112</v>
      </c>
      <c r="F281" s="60"/>
    </row>
    <row r="282" ht="18.75" spans="1:6">
      <c r="A282" s="61">
        <v>2100401</v>
      </c>
      <c r="B282" s="57" t="s">
        <v>332</v>
      </c>
      <c r="C282" s="58">
        <v>1277.04</v>
      </c>
      <c r="D282" s="59">
        <v>117.254816</v>
      </c>
      <c r="E282" s="59">
        <f t="shared" si="4"/>
        <v>1394.294816</v>
      </c>
      <c r="F282" s="60"/>
    </row>
    <row r="283" ht="18.75" spans="1:6">
      <c r="A283" s="61">
        <v>2100403</v>
      </c>
      <c r="B283" s="57" t="s">
        <v>333</v>
      </c>
      <c r="C283" s="58">
        <v>906.39</v>
      </c>
      <c r="D283" s="59">
        <v>-23.1274999999999</v>
      </c>
      <c r="E283" s="59">
        <f t="shared" si="4"/>
        <v>883.2625</v>
      </c>
      <c r="F283" s="60"/>
    </row>
    <row r="284" ht="18.75" spans="1:6">
      <c r="A284" s="61">
        <v>2100408</v>
      </c>
      <c r="B284" s="57" t="s">
        <v>334</v>
      </c>
      <c r="C284" s="58">
        <v>3663.97</v>
      </c>
      <c r="D284" s="59">
        <v>443.364796</v>
      </c>
      <c r="E284" s="59">
        <f t="shared" si="4"/>
        <v>4107.334796</v>
      </c>
      <c r="F284" s="60"/>
    </row>
    <row r="285" ht="18.75" spans="1:6">
      <c r="A285" s="61">
        <v>2100409</v>
      </c>
      <c r="B285" s="57" t="s">
        <v>335</v>
      </c>
      <c r="C285" s="58">
        <v>317.86</v>
      </c>
      <c r="D285" s="59">
        <v>34.626</v>
      </c>
      <c r="E285" s="59">
        <f t="shared" si="4"/>
        <v>352.486</v>
      </c>
      <c r="F285" s="60"/>
    </row>
    <row r="286" ht="18.75" spans="1:6">
      <c r="A286" s="61">
        <v>2100410</v>
      </c>
      <c r="B286" s="57" t="s">
        <v>336</v>
      </c>
      <c r="C286" s="58">
        <v>20</v>
      </c>
      <c r="D286" s="59">
        <v>305.22</v>
      </c>
      <c r="E286" s="59">
        <f t="shared" si="4"/>
        <v>325.22</v>
      </c>
      <c r="F286" s="60"/>
    </row>
    <row r="287" ht="18.75" spans="1:6">
      <c r="A287" s="56">
        <v>21007</v>
      </c>
      <c r="B287" s="57" t="s">
        <v>337</v>
      </c>
      <c r="C287" s="58">
        <v>1525.126</v>
      </c>
      <c r="D287" s="59">
        <v>413.5573</v>
      </c>
      <c r="E287" s="59">
        <f t="shared" si="4"/>
        <v>1938.6833</v>
      </c>
      <c r="F287" s="60"/>
    </row>
    <row r="288" ht="18.75" spans="1:6">
      <c r="A288" s="61">
        <v>2100717</v>
      </c>
      <c r="B288" s="57" t="s">
        <v>338</v>
      </c>
      <c r="C288" s="58">
        <v>1525.126</v>
      </c>
      <c r="D288" s="59">
        <v>413.5573</v>
      </c>
      <c r="E288" s="59">
        <f t="shared" si="4"/>
        <v>1938.6833</v>
      </c>
      <c r="F288" s="60"/>
    </row>
    <row r="289" ht="18.75" spans="1:6">
      <c r="A289" s="56">
        <v>21011</v>
      </c>
      <c r="B289" s="57" t="s">
        <v>339</v>
      </c>
      <c r="C289" s="58">
        <v>11650.26</v>
      </c>
      <c r="D289" s="59">
        <f>-3133.795246+2500</f>
        <v>-633.795246</v>
      </c>
      <c r="E289" s="59">
        <f t="shared" si="4"/>
        <v>11016.464754</v>
      </c>
      <c r="F289" s="60"/>
    </row>
    <row r="290" ht="18.75" spans="1:6">
      <c r="A290" s="61">
        <v>2101101</v>
      </c>
      <c r="B290" s="57" t="s">
        <v>340</v>
      </c>
      <c r="C290" s="58">
        <v>2866.58</v>
      </c>
      <c r="D290" s="59">
        <v>-24.1933519999998</v>
      </c>
      <c r="E290" s="59">
        <f t="shared" si="4"/>
        <v>2842.386648</v>
      </c>
      <c r="F290" s="60"/>
    </row>
    <row r="291" ht="18.75" spans="1:6">
      <c r="A291" s="61">
        <v>2101102</v>
      </c>
      <c r="B291" s="57" t="s">
        <v>341</v>
      </c>
      <c r="C291" s="58">
        <v>8779.48</v>
      </c>
      <c r="D291" s="59">
        <f>-3109.604052+2500</f>
        <v>-609.604052</v>
      </c>
      <c r="E291" s="59">
        <f t="shared" si="4"/>
        <v>8169.875948</v>
      </c>
      <c r="F291" s="60"/>
    </row>
    <row r="292" ht="18.75" spans="1:6">
      <c r="A292" s="61">
        <v>2101103</v>
      </c>
      <c r="B292" s="57" t="s">
        <v>342</v>
      </c>
      <c r="C292" s="58">
        <v>4.05</v>
      </c>
      <c r="D292" s="59">
        <v>0.00335800000000042</v>
      </c>
      <c r="E292" s="59">
        <f t="shared" si="4"/>
        <v>4.053358</v>
      </c>
      <c r="F292" s="60"/>
    </row>
    <row r="293" ht="18.75" spans="1:6">
      <c r="A293" s="61">
        <v>2101199</v>
      </c>
      <c r="B293" s="57" t="s">
        <v>343</v>
      </c>
      <c r="C293" s="58">
        <v>0.15</v>
      </c>
      <c r="D293" s="59">
        <v>-0.00120000000000001</v>
      </c>
      <c r="E293" s="59">
        <f t="shared" si="4"/>
        <v>0.1488</v>
      </c>
      <c r="F293" s="60"/>
    </row>
    <row r="294" ht="18.75" spans="1:6">
      <c r="A294" s="56">
        <v>21012</v>
      </c>
      <c r="B294" s="57" t="s">
        <v>344</v>
      </c>
      <c r="C294" s="58">
        <v>1096</v>
      </c>
      <c r="D294" s="59">
        <v>0</v>
      </c>
      <c r="E294" s="59">
        <f t="shared" si="4"/>
        <v>1096</v>
      </c>
      <c r="F294" s="60"/>
    </row>
    <row r="295" ht="37.5" spans="1:6">
      <c r="A295" s="61">
        <v>2101202</v>
      </c>
      <c r="B295" s="57" t="s">
        <v>345</v>
      </c>
      <c r="C295" s="58">
        <v>1096</v>
      </c>
      <c r="D295" s="59">
        <v>0</v>
      </c>
      <c r="E295" s="59">
        <f t="shared" si="4"/>
        <v>1096</v>
      </c>
      <c r="F295" s="60"/>
    </row>
    <row r="296" ht="18.75" spans="1:6">
      <c r="A296" s="56">
        <v>21013</v>
      </c>
      <c r="B296" s="57" t="s">
        <v>346</v>
      </c>
      <c r="C296" s="58">
        <v>235</v>
      </c>
      <c r="D296" s="59">
        <v>0</v>
      </c>
      <c r="E296" s="59">
        <f t="shared" si="4"/>
        <v>235</v>
      </c>
      <c r="F296" s="60"/>
    </row>
    <row r="297" ht="18.75" spans="1:6">
      <c r="A297" s="61">
        <v>2101301</v>
      </c>
      <c r="B297" s="57" t="s">
        <v>347</v>
      </c>
      <c r="C297" s="58">
        <v>235</v>
      </c>
      <c r="D297" s="59">
        <v>0</v>
      </c>
      <c r="E297" s="59">
        <f t="shared" si="4"/>
        <v>235</v>
      </c>
      <c r="F297" s="60"/>
    </row>
    <row r="298" ht="18.75" spans="1:6">
      <c r="A298" s="56">
        <v>21014</v>
      </c>
      <c r="B298" s="57" t="s">
        <v>348</v>
      </c>
      <c r="C298" s="58">
        <v>580.06</v>
      </c>
      <c r="D298" s="59">
        <v>48</v>
      </c>
      <c r="E298" s="59">
        <f t="shared" si="4"/>
        <v>628.06</v>
      </c>
      <c r="F298" s="60"/>
    </row>
    <row r="299" ht="18.75" spans="1:6">
      <c r="A299" s="61">
        <v>2101401</v>
      </c>
      <c r="B299" s="57" t="s">
        <v>349</v>
      </c>
      <c r="C299" s="58">
        <v>455.9</v>
      </c>
      <c r="D299" s="59">
        <v>172.16</v>
      </c>
      <c r="E299" s="59">
        <f t="shared" si="4"/>
        <v>628.06</v>
      </c>
      <c r="F299" s="60"/>
    </row>
    <row r="300" ht="18.75" spans="1:6">
      <c r="A300" s="61">
        <v>2101499</v>
      </c>
      <c r="B300" s="57" t="s">
        <v>350</v>
      </c>
      <c r="C300" s="58">
        <v>124.16</v>
      </c>
      <c r="D300" s="59">
        <v>-124.16</v>
      </c>
      <c r="E300" s="59">
        <f t="shared" si="4"/>
        <v>0</v>
      </c>
      <c r="F300" s="60"/>
    </row>
    <row r="301" ht="18.75" spans="1:6">
      <c r="A301" s="56">
        <v>21015</v>
      </c>
      <c r="B301" s="57" t="s">
        <v>351</v>
      </c>
      <c r="C301" s="58">
        <v>513.74</v>
      </c>
      <c r="D301" s="59">
        <v>64.1867</v>
      </c>
      <c r="E301" s="59">
        <f t="shared" si="4"/>
        <v>577.9267</v>
      </c>
      <c r="F301" s="60"/>
    </row>
    <row r="302" ht="18.75" spans="1:6">
      <c r="A302" s="61">
        <v>2101501</v>
      </c>
      <c r="B302" s="57" t="s">
        <v>117</v>
      </c>
      <c r="C302" s="58">
        <v>421.74</v>
      </c>
      <c r="D302" s="59">
        <v>46.6327</v>
      </c>
      <c r="E302" s="59">
        <f t="shared" si="4"/>
        <v>468.3727</v>
      </c>
      <c r="F302" s="60"/>
    </row>
    <row r="303" ht="18.75" spans="1:6">
      <c r="A303" s="61">
        <v>2101599</v>
      </c>
      <c r="B303" s="57" t="s">
        <v>352</v>
      </c>
      <c r="C303" s="58">
        <v>92</v>
      </c>
      <c r="D303" s="59">
        <v>17.554</v>
      </c>
      <c r="E303" s="59">
        <f t="shared" si="4"/>
        <v>109.554</v>
      </c>
      <c r="F303" s="60"/>
    </row>
    <row r="304" ht="18.75" spans="1:6">
      <c r="A304" s="56">
        <v>21017</v>
      </c>
      <c r="B304" s="57" t="s">
        <v>353</v>
      </c>
      <c r="C304" s="58">
        <v>142</v>
      </c>
      <c r="D304" s="59">
        <v>30</v>
      </c>
      <c r="E304" s="59">
        <f t="shared" si="4"/>
        <v>172</v>
      </c>
      <c r="F304" s="60"/>
    </row>
    <row r="305" ht="18.75" spans="1:6">
      <c r="A305" s="61">
        <v>2101704</v>
      </c>
      <c r="B305" s="57" t="s">
        <v>354</v>
      </c>
      <c r="C305" s="58">
        <v>142</v>
      </c>
      <c r="D305" s="59">
        <v>30</v>
      </c>
      <c r="E305" s="59">
        <f t="shared" si="4"/>
        <v>172</v>
      </c>
      <c r="F305" s="60"/>
    </row>
    <row r="306" ht="18.75" spans="1:6">
      <c r="A306" s="56">
        <v>21018</v>
      </c>
      <c r="B306" s="57" t="s">
        <v>355</v>
      </c>
      <c r="C306" s="58">
        <v>0</v>
      </c>
      <c r="D306" s="59">
        <v>46.2448</v>
      </c>
      <c r="E306" s="59">
        <f t="shared" si="4"/>
        <v>46.2448</v>
      </c>
      <c r="F306" s="60"/>
    </row>
    <row r="307" ht="18.75" spans="1:6">
      <c r="A307" s="61">
        <v>2101801</v>
      </c>
      <c r="B307" s="57" t="s">
        <v>117</v>
      </c>
      <c r="C307" s="58">
        <v>0</v>
      </c>
      <c r="D307" s="59">
        <v>36.8448</v>
      </c>
      <c r="E307" s="59">
        <f t="shared" si="4"/>
        <v>36.8448</v>
      </c>
      <c r="F307" s="60"/>
    </row>
    <row r="308" ht="18.75" spans="1:6">
      <c r="A308" s="61">
        <v>2101802</v>
      </c>
      <c r="B308" s="57" t="s">
        <v>118</v>
      </c>
      <c r="C308" s="58">
        <v>0</v>
      </c>
      <c r="D308" s="59">
        <v>9.4</v>
      </c>
      <c r="E308" s="59">
        <f t="shared" si="4"/>
        <v>9.4</v>
      </c>
      <c r="F308" s="60"/>
    </row>
    <row r="309" ht="18.75" spans="1:6">
      <c r="A309" s="56">
        <v>21019</v>
      </c>
      <c r="B309" s="57" t="s">
        <v>356</v>
      </c>
      <c r="C309" s="58">
        <v>5809.97</v>
      </c>
      <c r="D309" s="59">
        <v>-375.853169</v>
      </c>
      <c r="E309" s="59">
        <f t="shared" si="4"/>
        <v>5434.116831</v>
      </c>
      <c r="F309" s="60"/>
    </row>
    <row r="310" ht="18.75" spans="1:6">
      <c r="A310" s="61">
        <v>2101902</v>
      </c>
      <c r="B310" s="57" t="s">
        <v>357</v>
      </c>
      <c r="C310" s="58">
        <v>4160.57</v>
      </c>
      <c r="D310" s="59">
        <v>-410.53</v>
      </c>
      <c r="E310" s="59">
        <f t="shared" si="4"/>
        <v>3750.04</v>
      </c>
      <c r="F310" s="60"/>
    </row>
    <row r="311" ht="18.75" spans="1:6">
      <c r="A311" s="61">
        <v>2101999</v>
      </c>
      <c r="B311" s="57" t="s">
        <v>358</v>
      </c>
      <c r="C311" s="58">
        <v>1649.4</v>
      </c>
      <c r="D311" s="59">
        <v>34.6768309999998</v>
      </c>
      <c r="E311" s="59">
        <f t="shared" si="4"/>
        <v>1684.076831</v>
      </c>
      <c r="F311" s="60"/>
    </row>
    <row r="312" ht="18.75" spans="1:6">
      <c r="A312" s="56">
        <v>21099</v>
      </c>
      <c r="B312" s="57" t="s">
        <v>359</v>
      </c>
      <c r="C312" s="58">
        <v>304.58</v>
      </c>
      <c r="D312" s="59">
        <v>67.8004</v>
      </c>
      <c r="E312" s="59">
        <f t="shared" si="4"/>
        <v>372.3804</v>
      </c>
      <c r="F312" s="60"/>
    </row>
    <row r="313" ht="18.75" spans="1:6">
      <c r="A313" s="61">
        <v>2109999</v>
      </c>
      <c r="B313" s="57" t="s">
        <v>359</v>
      </c>
      <c r="C313" s="58">
        <v>304.58</v>
      </c>
      <c r="D313" s="59">
        <v>67.8004</v>
      </c>
      <c r="E313" s="59">
        <f t="shared" si="4"/>
        <v>372.3804</v>
      </c>
      <c r="F313" s="60"/>
    </row>
    <row r="314" ht="18.75" spans="1:6">
      <c r="A314" s="56">
        <v>211</v>
      </c>
      <c r="B314" s="57" t="s">
        <v>360</v>
      </c>
      <c r="C314" s="58">
        <v>3015.52</v>
      </c>
      <c r="D314" s="59">
        <f>1036.093+1388</f>
        <v>2424.093</v>
      </c>
      <c r="E314" s="59">
        <f t="shared" si="4"/>
        <v>5439.613</v>
      </c>
      <c r="F314" s="60"/>
    </row>
    <row r="315" ht="18.75" spans="1:6">
      <c r="A315" s="56">
        <v>21101</v>
      </c>
      <c r="B315" s="57" t="s">
        <v>361</v>
      </c>
      <c r="C315" s="58">
        <v>119.24</v>
      </c>
      <c r="D315" s="59">
        <f>4.10000000000001+39</f>
        <v>43.1</v>
      </c>
      <c r="E315" s="59">
        <f t="shared" si="4"/>
        <v>162.34</v>
      </c>
      <c r="F315" s="60"/>
    </row>
    <row r="316" ht="18.75" spans="1:6">
      <c r="A316" s="61">
        <v>2110101</v>
      </c>
      <c r="B316" s="57" t="s">
        <v>117</v>
      </c>
      <c r="C316" s="58">
        <v>75.24</v>
      </c>
      <c r="D316" s="59">
        <v>0</v>
      </c>
      <c r="E316" s="59">
        <f t="shared" si="4"/>
        <v>75.24</v>
      </c>
      <c r="F316" s="60"/>
    </row>
    <row r="317" ht="18.75" spans="1:6">
      <c r="A317" s="61">
        <v>2110108</v>
      </c>
      <c r="B317" s="57" t="s">
        <v>362</v>
      </c>
      <c r="C317" s="58">
        <v>10</v>
      </c>
      <c r="D317" s="59">
        <f>13.1+36</f>
        <v>49.1</v>
      </c>
      <c r="E317" s="59">
        <f t="shared" si="4"/>
        <v>59.1</v>
      </c>
      <c r="F317" s="60"/>
    </row>
    <row r="318" ht="18.75" spans="1:6">
      <c r="A318" s="61">
        <v>2110199</v>
      </c>
      <c r="B318" s="57" t="s">
        <v>363</v>
      </c>
      <c r="C318" s="58">
        <v>34</v>
      </c>
      <c r="D318" s="59">
        <f>-9+3</f>
        <v>-6</v>
      </c>
      <c r="E318" s="59">
        <f t="shared" si="4"/>
        <v>28</v>
      </c>
      <c r="F318" s="60"/>
    </row>
    <row r="319" ht="18.75" spans="1:6">
      <c r="A319" s="56">
        <v>21102</v>
      </c>
      <c r="B319" s="57" t="s">
        <v>364</v>
      </c>
      <c r="C319" s="58">
        <v>50</v>
      </c>
      <c r="D319" s="59">
        <f>-30+17</f>
        <v>-13</v>
      </c>
      <c r="E319" s="59">
        <f t="shared" si="4"/>
        <v>37</v>
      </c>
      <c r="F319" s="60"/>
    </row>
    <row r="320" ht="18.75" spans="1:6">
      <c r="A320" s="61">
        <v>2110299</v>
      </c>
      <c r="B320" s="57" t="s">
        <v>365</v>
      </c>
      <c r="C320" s="58">
        <v>50</v>
      </c>
      <c r="D320" s="59">
        <f>-30+17</f>
        <v>-13</v>
      </c>
      <c r="E320" s="59">
        <f t="shared" si="4"/>
        <v>37</v>
      </c>
      <c r="F320" s="60"/>
    </row>
    <row r="321" ht="18.75" spans="1:6">
      <c r="A321" s="56">
        <v>21103</v>
      </c>
      <c r="B321" s="57" t="s">
        <v>366</v>
      </c>
      <c r="C321" s="58">
        <v>120</v>
      </c>
      <c r="D321" s="59">
        <f>30.015+303</f>
        <v>333.015</v>
      </c>
      <c r="E321" s="59">
        <f t="shared" si="4"/>
        <v>453.015</v>
      </c>
      <c r="F321" s="60"/>
    </row>
    <row r="322" ht="18.75" spans="1:6">
      <c r="A322" s="61">
        <v>2110301</v>
      </c>
      <c r="B322" s="57" t="s">
        <v>367</v>
      </c>
      <c r="C322" s="58">
        <v>0</v>
      </c>
      <c r="D322" s="59">
        <f>0+208</f>
        <v>208</v>
      </c>
      <c r="E322" s="59">
        <f t="shared" si="4"/>
        <v>208</v>
      </c>
      <c r="F322" s="60"/>
    </row>
    <row r="323" ht="18.75" spans="1:6">
      <c r="A323" s="61">
        <v>2110302</v>
      </c>
      <c r="B323" s="57" t="s">
        <v>368</v>
      </c>
      <c r="C323" s="58">
        <v>0</v>
      </c>
      <c r="D323" s="59">
        <f>50.015+81</f>
        <v>131.015</v>
      </c>
      <c r="E323" s="59">
        <f t="shared" si="4"/>
        <v>131.015</v>
      </c>
      <c r="F323" s="60"/>
    </row>
    <row r="324" ht="18.75" spans="1:6">
      <c r="A324" s="61">
        <v>2110399</v>
      </c>
      <c r="B324" s="57" t="s">
        <v>369</v>
      </c>
      <c r="C324" s="58">
        <v>120</v>
      </c>
      <c r="D324" s="59">
        <f>-20+14</f>
        <v>-6</v>
      </c>
      <c r="E324" s="59">
        <f t="shared" si="4"/>
        <v>114</v>
      </c>
      <c r="F324" s="60"/>
    </row>
    <row r="325" ht="18.75" spans="1:6">
      <c r="A325" s="56">
        <v>21104</v>
      </c>
      <c r="B325" s="57" t="s">
        <v>370</v>
      </c>
      <c r="C325" s="58">
        <v>1193.67</v>
      </c>
      <c r="D325" s="59">
        <f>-25.0920000000001+29</f>
        <v>3.9079999999999</v>
      </c>
      <c r="E325" s="59">
        <f t="shared" si="4"/>
        <v>1197.578</v>
      </c>
      <c r="F325" s="60"/>
    </row>
    <row r="326" ht="18.75" spans="1:6">
      <c r="A326" s="61">
        <v>2110401</v>
      </c>
      <c r="B326" s="57" t="s">
        <v>371</v>
      </c>
      <c r="C326" s="58">
        <v>1128.48</v>
      </c>
      <c r="D326" s="59">
        <v>-5.08999999999992</v>
      </c>
      <c r="E326" s="59">
        <f t="shared" si="4"/>
        <v>1123.39</v>
      </c>
      <c r="F326" s="60"/>
    </row>
    <row r="327" ht="18.75" spans="1:6">
      <c r="A327" s="61">
        <v>2110402</v>
      </c>
      <c r="B327" s="57" t="s">
        <v>372</v>
      </c>
      <c r="C327" s="58">
        <v>0</v>
      </c>
      <c r="D327" s="59">
        <f>3+29</f>
        <v>32</v>
      </c>
      <c r="E327" s="59">
        <f t="shared" si="4"/>
        <v>32</v>
      </c>
      <c r="F327" s="60"/>
    </row>
    <row r="328" ht="18.75" spans="1:6">
      <c r="A328" s="61">
        <v>2110404</v>
      </c>
      <c r="B328" s="57" t="s">
        <v>373</v>
      </c>
      <c r="C328" s="58">
        <v>15.19</v>
      </c>
      <c r="D328" s="59">
        <v>-0.00199999999999889</v>
      </c>
      <c r="E328" s="59">
        <f>C328+D328</f>
        <v>15.188</v>
      </c>
      <c r="F328" s="60"/>
    </row>
    <row r="329" ht="18.75" spans="1:6">
      <c r="A329" s="61">
        <v>2110406</v>
      </c>
      <c r="B329" s="57" t="s">
        <v>374</v>
      </c>
      <c r="C329" s="58">
        <v>50</v>
      </c>
      <c r="D329" s="59">
        <v>-23</v>
      </c>
      <c r="E329" s="59">
        <f t="shared" ref="E329:E392" si="5">C329+D329</f>
        <v>27</v>
      </c>
      <c r="F329" s="60"/>
    </row>
    <row r="330" ht="18.75" spans="1:6">
      <c r="A330" s="56">
        <v>21105</v>
      </c>
      <c r="B330" s="57" t="s">
        <v>375</v>
      </c>
      <c r="C330" s="58">
        <v>943.61</v>
      </c>
      <c r="D330" s="59">
        <v>5.06999999999994</v>
      </c>
      <c r="E330" s="59">
        <f t="shared" si="5"/>
        <v>948.68</v>
      </c>
      <c r="F330" s="60"/>
    </row>
    <row r="331" ht="18.75" spans="1:6">
      <c r="A331" s="61">
        <v>2110501</v>
      </c>
      <c r="B331" s="57" t="s">
        <v>376</v>
      </c>
      <c r="C331" s="58">
        <v>943.61</v>
      </c>
      <c r="D331" s="59">
        <v>5.06999999999994</v>
      </c>
      <c r="E331" s="59">
        <f t="shared" si="5"/>
        <v>948.68</v>
      </c>
      <c r="F331" s="60"/>
    </row>
    <row r="332" ht="18.75" spans="1:6">
      <c r="A332" s="56">
        <v>21110</v>
      </c>
      <c r="B332" s="57" t="s">
        <v>377</v>
      </c>
      <c r="C332" s="58">
        <v>500</v>
      </c>
      <c r="D332" s="59">
        <v>-200</v>
      </c>
      <c r="E332" s="59">
        <f t="shared" si="5"/>
        <v>300</v>
      </c>
      <c r="F332" s="60"/>
    </row>
    <row r="333" ht="18.75" spans="1:6">
      <c r="A333" s="61">
        <v>2111001</v>
      </c>
      <c r="B333" s="57" t="s">
        <v>377</v>
      </c>
      <c r="C333" s="58">
        <v>500</v>
      </c>
      <c r="D333" s="59">
        <v>-200</v>
      </c>
      <c r="E333" s="59">
        <f t="shared" si="5"/>
        <v>300</v>
      </c>
      <c r="F333" s="60"/>
    </row>
    <row r="334" ht="18.75" spans="1:6">
      <c r="A334" s="56">
        <v>21113</v>
      </c>
      <c r="B334" s="57" t="s">
        <v>378</v>
      </c>
      <c r="C334" s="58">
        <v>0</v>
      </c>
      <c r="D334" s="59">
        <f>1255+1000</f>
        <v>2255</v>
      </c>
      <c r="E334" s="59">
        <f t="shared" si="5"/>
        <v>2255</v>
      </c>
      <c r="F334" s="60"/>
    </row>
    <row r="335" ht="18.75" spans="1:6">
      <c r="A335" s="61">
        <v>2111301</v>
      </c>
      <c r="B335" s="57" t="s">
        <v>378</v>
      </c>
      <c r="C335" s="58">
        <v>0</v>
      </c>
      <c r="D335" s="59">
        <f>1255+1000</f>
        <v>2255</v>
      </c>
      <c r="E335" s="59">
        <f t="shared" si="5"/>
        <v>2255</v>
      </c>
      <c r="F335" s="60"/>
    </row>
    <row r="336" ht="18.75" spans="1:6">
      <c r="A336" s="56">
        <v>21199</v>
      </c>
      <c r="B336" s="57" t="s">
        <v>379</v>
      </c>
      <c r="C336" s="58">
        <v>89</v>
      </c>
      <c r="D336" s="59">
        <v>-3</v>
      </c>
      <c r="E336" s="59">
        <f t="shared" si="5"/>
        <v>86</v>
      </c>
      <c r="F336" s="60"/>
    </row>
    <row r="337" ht="18.75" spans="1:6">
      <c r="A337" s="61">
        <v>2119999</v>
      </c>
      <c r="B337" s="57" t="s">
        <v>379</v>
      </c>
      <c r="C337" s="58">
        <v>89</v>
      </c>
      <c r="D337" s="59">
        <v>-3</v>
      </c>
      <c r="E337" s="59">
        <f t="shared" si="5"/>
        <v>86</v>
      </c>
      <c r="F337" s="60"/>
    </row>
    <row r="338" ht="18.75" spans="1:6">
      <c r="A338" s="56">
        <v>212</v>
      </c>
      <c r="B338" s="57" t="s">
        <v>380</v>
      </c>
      <c r="C338" s="58">
        <v>12580.52</v>
      </c>
      <c r="D338" s="59">
        <f>3244.644952+3480+619</f>
        <v>7343.644952</v>
      </c>
      <c r="E338" s="59">
        <f t="shared" si="5"/>
        <v>19924.164952</v>
      </c>
      <c r="F338" s="60"/>
    </row>
    <row r="339" ht="18.75" spans="1:6">
      <c r="A339" s="56">
        <v>21201</v>
      </c>
      <c r="B339" s="57" t="s">
        <v>381</v>
      </c>
      <c r="C339" s="58">
        <v>6889.32</v>
      </c>
      <c r="D339" s="59">
        <f>589.3782+3480+200</f>
        <v>4269.3782</v>
      </c>
      <c r="E339" s="59">
        <f t="shared" si="5"/>
        <v>11158.6982</v>
      </c>
      <c r="F339" s="60"/>
    </row>
    <row r="340" ht="18.75" spans="1:6">
      <c r="A340" s="61">
        <v>2120101</v>
      </c>
      <c r="B340" s="57" t="s">
        <v>117</v>
      </c>
      <c r="C340" s="58">
        <v>5457.06</v>
      </c>
      <c r="D340" s="59">
        <v>605.1582</v>
      </c>
      <c r="E340" s="59">
        <f t="shared" si="5"/>
        <v>6062.2182</v>
      </c>
      <c r="F340" s="60"/>
    </row>
    <row r="341" ht="18.75" spans="1:6">
      <c r="A341" s="61">
        <v>2120104</v>
      </c>
      <c r="B341" s="57" t="s">
        <v>382</v>
      </c>
      <c r="C341" s="58">
        <v>650</v>
      </c>
      <c r="D341" s="59">
        <v>0</v>
      </c>
      <c r="E341" s="59">
        <f t="shared" si="5"/>
        <v>650</v>
      </c>
      <c r="F341" s="60"/>
    </row>
    <row r="342" ht="18.75" spans="1:6">
      <c r="A342" s="61">
        <v>2120107</v>
      </c>
      <c r="B342" s="57" t="s">
        <v>383</v>
      </c>
      <c r="C342" s="58">
        <v>308</v>
      </c>
      <c r="D342" s="59">
        <v>25</v>
      </c>
      <c r="E342" s="59">
        <f t="shared" si="5"/>
        <v>333</v>
      </c>
      <c r="F342" s="60"/>
    </row>
    <row r="343" ht="18.75" spans="1:6">
      <c r="A343" s="61">
        <v>2120199</v>
      </c>
      <c r="B343" s="57" t="s">
        <v>384</v>
      </c>
      <c r="C343" s="58">
        <v>474.26</v>
      </c>
      <c r="D343" s="59">
        <f>-40.78+3480+200</f>
        <v>3639.22</v>
      </c>
      <c r="E343" s="59">
        <f t="shared" si="5"/>
        <v>4113.48</v>
      </c>
      <c r="F343" s="60"/>
    </row>
    <row r="344" ht="18.75" spans="1:6">
      <c r="A344" s="56">
        <v>21203</v>
      </c>
      <c r="B344" s="57" t="s">
        <v>385</v>
      </c>
      <c r="C344" s="58">
        <v>984</v>
      </c>
      <c r="D344" s="59">
        <v>100</v>
      </c>
      <c r="E344" s="59">
        <f t="shared" si="5"/>
        <v>1084</v>
      </c>
      <c r="F344" s="60"/>
    </row>
    <row r="345" ht="18.75" spans="1:6">
      <c r="A345" s="61">
        <v>2120399</v>
      </c>
      <c r="B345" s="57" t="s">
        <v>386</v>
      </c>
      <c r="C345" s="58">
        <v>984</v>
      </c>
      <c r="D345" s="59">
        <v>100</v>
      </c>
      <c r="E345" s="59">
        <f t="shared" si="5"/>
        <v>1084</v>
      </c>
      <c r="F345" s="60"/>
    </row>
    <row r="346" ht="18.75" spans="1:6">
      <c r="A346" s="56">
        <v>21205</v>
      </c>
      <c r="B346" s="57" t="s">
        <v>387</v>
      </c>
      <c r="C346" s="58">
        <v>4212.4</v>
      </c>
      <c r="D346" s="59">
        <f>0+300</f>
        <v>300</v>
      </c>
      <c r="E346" s="59">
        <f t="shared" si="5"/>
        <v>4512.4</v>
      </c>
      <c r="F346" s="60"/>
    </row>
    <row r="347" ht="18.75" spans="1:6">
      <c r="A347" s="61">
        <v>2120501</v>
      </c>
      <c r="B347" s="57" t="s">
        <v>387</v>
      </c>
      <c r="C347" s="58">
        <v>4212.4</v>
      </c>
      <c r="D347" s="59">
        <f>0+300</f>
        <v>300</v>
      </c>
      <c r="E347" s="59">
        <f t="shared" si="5"/>
        <v>4512.4</v>
      </c>
      <c r="F347" s="60"/>
    </row>
    <row r="348" ht="18.75" spans="1:6">
      <c r="A348" s="56">
        <v>21299</v>
      </c>
      <c r="B348" s="57" t="s">
        <v>388</v>
      </c>
      <c r="C348" s="58">
        <v>494.8</v>
      </c>
      <c r="D348" s="59">
        <f>2555.266752+119</f>
        <v>2674.266752</v>
      </c>
      <c r="E348" s="59">
        <f t="shared" si="5"/>
        <v>3169.066752</v>
      </c>
      <c r="F348" s="60"/>
    </row>
    <row r="349" ht="18.75" spans="1:6">
      <c r="A349" s="61">
        <v>2129999</v>
      </c>
      <c r="B349" s="57" t="s">
        <v>388</v>
      </c>
      <c r="C349" s="58">
        <v>494.8</v>
      </c>
      <c r="D349" s="59">
        <f>2555.266752+119</f>
        <v>2674.266752</v>
      </c>
      <c r="E349" s="59">
        <f t="shared" si="5"/>
        <v>3169.066752</v>
      </c>
      <c r="F349" s="60"/>
    </row>
    <row r="350" ht="18.75" spans="1:6">
      <c r="A350" s="56">
        <v>213</v>
      </c>
      <c r="B350" s="57" t="s">
        <v>389</v>
      </c>
      <c r="C350" s="58">
        <v>46346.842</v>
      </c>
      <c r="D350" s="59">
        <f>15543.187116-10000+1424</f>
        <v>6967.187116</v>
      </c>
      <c r="E350" s="59">
        <f t="shared" si="5"/>
        <v>53314.029116</v>
      </c>
      <c r="F350" s="60"/>
    </row>
    <row r="351" ht="18.75" spans="1:6">
      <c r="A351" s="56">
        <v>21301</v>
      </c>
      <c r="B351" s="57" t="s">
        <v>390</v>
      </c>
      <c r="C351" s="58">
        <v>13606.49</v>
      </c>
      <c r="D351" s="59">
        <f>1183.323918+576</f>
        <v>1759.323918</v>
      </c>
      <c r="E351" s="59">
        <f t="shared" si="5"/>
        <v>15365.813918</v>
      </c>
      <c r="F351" s="60"/>
    </row>
    <row r="352" ht="18.75" spans="1:6">
      <c r="A352" s="61">
        <v>2130101</v>
      </c>
      <c r="B352" s="57" t="s">
        <v>117</v>
      </c>
      <c r="C352" s="58">
        <v>3340.62</v>
      </c>
      <c r="D352" s="59">
        <v>362.3128</v>
      </c>
      <c r="E352" s="59">
        <f t="shared" si="5"/>
        <v>3702.9328</v>
      </c>
      <c r="F352" s="60"/>
    </row>
    <row r="353" ht="18.75" spans="1:6">
      <c r="A353" s="61">
        <v>2130102</v>
      </c>
      <c r="B353" s="57" t="s">
        <v>118</v>
      </c>
      <c r="C353" s="58">
        <v>0</v>
      </c>
      <c r="D353" s="59">
        <v>72</v>
      </c>
      <c r="E353" s="59">
        <f t="shared" si="5"/>
        <v>72</v>
      </c>
      <c r="F353" s="60"/>
    </row>
    <row r="354" ht="18.75" spans="1:6">
      <c r="A354" s="61">
        <v>2130106</v>
      </c>
      <c r="B354" s="57" t="s">
        <v>391</v>
      </c>
      <c r="C354" s="58">
        <v>225</v>
      </c>
      <c r="D354" s="59">
        <f>76.028+93</f>
        <v>169.028</v>
      </c>
      <c r="E354" s="59">
        <f t="shared" si="5"/>
        <v>394.028</v>
      </c>
      <c r="F354" s="60"/>
    </row>
    <row r="355" ht="18.75" spans="1:6">
      <c r="A355" s="61">
        <v>2130108</v>
      </c>
      <c r="B355" s="57" t="s">
        <v>392</v>
      </c>
      <c r="C355" s="58">
        <v>202.62</v>
      </c>
      <c r="D355" s="59">
        <v>43.2</v>
      </c>
      <c r="E355" s="59">
        <f t="shared" si="5"/>
        <v>245.82</v>
      </c>
      <c r="F355" s="60"/>
    </row>
    <row r="356" ht="18.75" spans="1:6">
      <c r="A356" s="61">
        <v>2130109</v>
      </c>
      <c r="B356" s="57" t="s">
        <v>393</v>
      </c>
      <c r="C356" s="58">
        <v>10</v>
      </c>
      <c r="D356" s="59">
        <v>4.4</v>
      </c>
      <c r="E356" s="59">
        <f t="shared" si="5"/>
        <v>14.4</v>
      </c>
      <c r="F356" s="60"/>
    </row>
    <row r="357" ht="18.75" spans="1:6">
      <c r="A357" s="61">
        <v>2130110</v>
      </c>
      <c r="B357" s="57" t="s">
        <v>394</v>
      </c>
      <c r="C357" s="58">
        <v>10</v>
      </c>
      <c r="D357" s="59">
        <v>-4</v>
      </c>
      <c r="E357" s="59">
        <f t="shared" si="5"/>
        <v>6</v>
      </c>
      <c r="F357" s="60"/>
    </row>
    <row r="358" ht="18.75" spans="1:6">
      <c r="A358" s="61">
        <v>2130119</v>
      </c>
      <c r="B358" s="57" t="s">
        <v>395</v>
      </c>
      <c r="C358" s="58">
        <v>0</v>
      </c>
      <c r="D358" s="59">
        <v>67</v>
      </c>
      <c r="E358" s="59">
        <f t="shared" si="5"/>
        <v>67</v>
      </c>
      <c r="F358" s="60"/>
    </row>
    <row r="359" ht="18.75" spans="1:6">
      <c r="A359" s="61">
        <v>2130120</v>
      </c>
      <c r="B359" s="57" t="s">
        <v>396</v>
      </c>
      <c r="C359" s="58">
        <v>4147</v>
      </c>
      <c r="D359" s="59">
        <v>0</v>
      </c>
      <c r="E359" s="59">
        <f t="shared" si="5"/>
        <v>4147</v>
      </c>
      <c r="F359" s="60"/>
    </row>
    <row r="360" ht="18.75" spans="1:6">
      <c r="A360" s="61">
        <v>2130122</v>
      </c>
      <c r="B360" s="57" t="s">
        <v>397</v>
      </c>
      <c r="C360" s="58">
        <v>4033.85</v>
      </c>
      <c r="D360" s="59">
        <v>-519.5904</v>
      </c>
      <c r="E360" s="59">
        <f t="shared" si="5"/>
        <v>3514.2596</v>
      </c>
      <c r="F360" s="60"/>
    </row>
    <row r="361" ht="18.75" spans="1:6">
      <c r="A361" s="61">
        <v>2130124</v>
      </c>
      <c r="B361" s="57" t="s">
        <v>398</v>
      </c>
      <c r="C361" s="58">
        <v>763.02</v>
      </c>
      <c r="D361" s="59">
        <f>210.235816+24</f>
        <v>234.235816</v>
      </c>
      <c r="E361" s="59">
        <f t="shared" si="5"/>
        <v>997.255816</v>
      </c>
      <c r="F361" s="60"/>
    </row>
    <row r="362" ht="18.75" spans="1:6">
      <c r="A362" s="61">
        <v>2130126</v>
      </c>
      <c r="B362" s="57" t="s">
        <v>399</v>
      </c>
      <c r="C362" s="58">
        <v>849.38</v>
      </c>
      <c r="D362" s="59">
        <f>146.52+297</f>
        <v>443.52</v>
      </c>
      <c r="E362" s="59">
        <f t="shared" si="5"/>
        <v>1292.9</v>
      </c>
      <c r="F362" s="60"/>
    </row>
    <row r="363" ht="18.75" spans="1:6">
      <c r="A363" s="61">
        <v>2130135</v>
      </c>
      <c r="B363" s="57" t="s">
        <v>400</v>
      </c>
      <c r="C363" s="58">
        <v>10</v>
      </c>
      <c r="D363" s="59">
        <f>156.7+50</f>
        <v>206.7</v>
      </c>
      <c r="E363" s="59">
        <f t="shared" si="5"/>
        <v>216.7</v>
      </c>
      <c r="F363" s="60"/>
    </row>
    <row r="364" ht="18.75" spans="1:6">
      <c r="A364" s="61">
        <v>2130142</v>
      </c>
      <c r="B364" s="57" t="s">
        <v>401</v>
      </c>
      <c r="C364" s="58">
        <v>0</v>
      </c>
      <c r="D364" s="59">
        <v>60</v>
      </c>
      <c r="E364" s="59">
        <f t="shared" si="5"/>
        <v>60</v>
      </c>
      <c r="F364" s="60"/>
    </row>
    <row r="365" ht="18.75" spans="1:6">
      <c r="A365" s="61">
        <v>2130153</v>
      </c>
      <c r="B365" s="57" t="s">
        <v>402</v>
      </c>
      <c r="C365" s="58">
        <v>10</v>
      </c>
      <c r="D365" s="59">
        <f>508.517702+12</f>
        <v>520.517702</v>
      </c>
      <c r="E365" s="59">
        <f t="shared" si="5"/>
        <v>530.517702</v>
      </c>
      <c r="F365" s="60"/>
    </row>
    <row r="366" ht="18.75" spans="1:6">
      <c r="A366" s="61">
        <v>2130199</v>
      </c>
      <c r="B366" s="57" t="s">
        <v>403</v>
      </c>
      <c r="C366" s="58">
        <v>5</v>
      </c>
      <c r="D366" s="59">
        <f>0+100</f>
        <v>100</v>
      </c>
      <c r="E366" s="59">
        <f t="shared" si="5"/>
        <v>105</v>
      </c>
      <c r="F366" s="60"/>
    </row>
    <row r="367" ht="18.75" spans="1:6">
      <c r="A367" s="56">
        <v>21302</v>
      </c>
      <c r="B367" s="57" t="s">
        <v>404</v>
      </c>
      <c r="C367" s="58">
        <v>3017.97</v>
      </c>
      <c r="D367" s="59">
        <v>1377.773538</v>
      </c>
      <c r="E367" s="59">
        <f t="shared" si="5"/>
        <v>4395.743538</v>
      </c>
      <c r="F367" s="60"/>
    </row>
    <row r="368" ht="18.75" spans="1:6">
      <c r="A368" s="61">
        <v>2130204</v>
      </c>
      <c r="B368" s="57" t="s">
        <v>405</v>
      </c>
      <c r="C368" s="58">
        <v>1717.72</v>
      </c>
      <c r="D368" s="59">
        <v>59.127538</v>
      </c>
      <c r="E368" s="59">
        <f t="shared" si="5"/>
        <v>1776.847538</v>
      </c>
      <c r="F368" s="60"/>
    </row>
    <row r="369" ht="18.75" spans="1:6">
      <c r="A369" s="61">
        <v>2130205</v>
      </c>
      <c r="B369" s="57" t="s">
        <v>406</v>
      </c>
      <c r="C369" s="58">
        <v>340</v>
      </c>
      <c r="D369" s="59">
        <v>360</v>
      </c>
      <c r="E369" s="59">
        <f t="shared" si="5"/>
        <v>700</v>
      </c>
      <c r="F369" s="60"/>
    </row>
    <row r="370" ht="18.75" spans="1:6">
      <c r="A370" s="61">
        <v>2130206</v>
      </c>
      <c r="B370" s="57" t="s">
        <v>407</v>
      </c>
      <c r="C370" s="58">
        <v>10</v>
      </c>
      <c r="D370" s="59">
        <v>78.9</v>
      </c>
      <c r="E370" s="59">
        <f t="shared" si="5"/>
        <v>88.9</v>
      </c>
      <c r="F370" s="60"/>
    </row>
    <row r="371" ht="18.75" spans="1:6">
      <c r="A371" s="61">
        <v>2130207</v>
      </c>
      <c r="B371" s="57" t="s">
        <v>408</v>
      </c>
      <c r="C371" s="58">
        <v>126.34</v>
      </c>
      <c r="D371" s="59">
        <v>-69.998</v>
      </c>
      <c r="E371" s="59">
        <f t="shared" si="5"/>
        <v>56.342</v>
      </c>
      <c r="F371" s="60"/>
    </row>
    <row r="372" ht="18.75" spans="1:6">
      <c r="A372" s="61">
        <v>2130209</v>
      </c>
      <c r="B372" s="57" t="s">
        <v>409</v>
      </c>
      <c r="C372" s="58">
        <v>305.01</v>
      </c>
      <c r="D372" s="59">
        <v>-0.0040000000000191</v>
      </c>
      <c r="E372" s="59">
        <f t="shared" si="5"/>
        <v>305.006</v>
      </c>
      <c r="F372" s="60"/>
    </row>
    <row r="373" ht="18.75" spans="1:6">
      <c r="A373" s="61">
        <v>2130211</v>
      </c>
      <c r="B373" s="57" t="s">
        <v>410</v>
      </c>
      <c r="C373" s="58">
        <v>39.5</v>
      </c>
      <c r="D373" s="59">
        <v>0</v>
      </c>
      <c r="E373" s="59">
        <f t="shared" si="5"/>
        <v>39.5</v>
      </c>
      <c r="F373" s="60"/>
    </row>
    <row r="374" ht="18.75" spans="1:6">
      <c r="A374" s="61">
        <v>2130221</v>
      </c>
      <c r="B374" s="57" t="s">
        <v>411</v>
      </c>
      <c r="C374" s="58">
        <v>127.01</v>
      </c>
      <c r="D374" s="59">
        <v>9.99999999999999</v>
      </c>
      <c r="E374" s="59">
        <f t="shared" si="5"/>
        <v>137.01</v>
      </c>
      <c r="F374" s="60"/>
    </row>
    <row r="375" ht="18.75" spans="1:6">
      <c r="A375" s="61">
        <v>2130234</v>
      </c>
      <c r="B375" s="57" t="s">
        <v>412</v>
      </c>
      <c r="C375" s="58">
        <v>248.43</v>
      </c>
      <c r="D375" s="59">
        <v>41.748</v>
      </c>
      <c r="E375" s="59">
        <f t="shared" si="5"/>
        <v>290.178</v>
      </c>
      <c r="F375" s="60"/>
    </row>
    <row r="376" ht="18.75" spans="1:6">
      <c r="A376" s="61">
        <v>2130238</v>
      </c>
      <c r="B376" s="57" t="s">
        <v>413</v>
      </c>
      <c r="C376" s="58">
        <v>3.96</v>
      </c>
      <c r="D376" s="59">
        <v>898</v>
      </c>
      <c r="E376" s="59">
        <f t="shared" si="5"/>
        <v>901.96</v>
      </c>
      <c r="F376" s="60"/>
    </row>
    <row r="377" ht="18.75" spans="1:6">
      <c r="A377" s="61">
        <v>2130299</v>
      </c>
      <c r="B377" s="57" t="s">
        <v>414</v>
      </c>
      <c r="C377" s="58">
        <v>100</v>
      </c>
      <c r="D377" s="59">
        <v>0</v>
      </c>
      <c r="E377" s="59">
        <f t="shared" si="5"/>
        <v>100</v>
      </c>
      <c r="F377" s="60"/>
    </row>
    <row r="378" ht="18.75" spans="1:6">
      <c r="A378" s="56">
        <v>21303</v>
      </c>
      <c r="B378" s="57" t="s">
        <v>415</v>
      </c>
      <c r="C378" s="58">
        <v>6618.53</v>
      </c>
      <c r="D378" s="59">
        <f>333.352526000001+433</f>
        <v>766.352526000001</v>
      </c>
      <c r="E378" s="59">
        <f t="shared" si="5"/>
        <v>7384.882526</v>
      </c>
      <c r="F378" s="60"/>
    </row>
    <row r="379" ht="18.75" spans="1:6">
      <c r="A379" s="61">
        <v>2130301</v>
      </c>
      <c r="B379" s="57" t="s">
        <v>117</v>
      </c>
      <c r="C379" s="58">
        <v>1755.72</v>
      </c>
      <c r="D379" s="59">
        <v>100.676</v>
      </c>
      <c r="E379" s="59">
        <f t="shared" si="5"/>
        <v>1856.396</v>
      </c>
      <c r="F379" s="60"/>
    </row>
    <row r="380" ht="18.75" spans="1:6">
      <c r="A380" s="61">
        <v>2130305</v>
      </c>
      <c r="B380" s="57" t="s">
        <v>416</v>
      </c>
      <c r="C380" s="58">
        <v>2423.39</v>
      </c>
      <c r="D380" s="59">
        <f>485.69312+360</f>
        <v>845.69312</v>
      </c>
      <c r="E380" s="59">
        <f t="shared" si="5"/>
        <v>3269.08312</v>
      </c>
      <c r="F380" s="60"/>
    </row>
    <row r="381" ht="18.75" spans="1:6">
      <c r="A381" s="61">
        <v>2130306</v>
      </c>
      <c r="B381" s="57" t="s">
        <v>417</v>
      </c>
      <c r="C381" s="58">
        <v>429.42</v>
      </c>
      <c r="D381" s="59">
        <f>-0.00147400000003017+10</f>
        <v>9.99852599999997</v>
      </c>
      <c r="E381" s="59">
        <f t="shared" si="5"/>
        <v>439.418526</v>
      </c>
      <c r="F381" s="60"/>
    </row>
    <row r="382" ht="18.75" spans="1:6">
      <c r="A382" s="61">
        <v>2130310</v>
      </c>
      <c r="B382" s="57" t="s">
        <v>418</v>
      </c>
      <c r="C382" s="58">
        <v>400</v>
      </c>
      <c r="D382" s="59">
        <v>-210.72512</v>
      </c>
      <c r="E382" s="59">
        <f t="shared" si="5"/>
        <v>189.27488</v>
      </c>
      <c r="F382" s="60"/>
    </row>
    <row r="383" ht="18.75" spans="1:6">
      <c r="A383" s="61">
        <v>2130311</v>
      </c>
      <c r="B383" s="57" t="s">
        <v>419</v>
      </c>
      <c r="C383" s="58">
        <v>50</v>
      </c>
      <c r="D383" s="59">
        <f>-48+30</f>
        <v>-18</v>
      </c>
      <c r="E383" s="59">
        <f t="shared" si="5"/>
        <v>32</v>
      </c>
      <c r="F383" s="60"/>
    </row>
    <row r="384" ht="18.75" spans="1:6">
      <c r="A384" s="61">
        <v>2130314</v>
      </c>
      <c r="B384" s="57" t="s">
        <v>420</v>
      </c>
      <c r="C384" s="58">
        <v>15</v>
      </c>
      <c r="D384" s="59">
        <f>0+4</f>
        <v>4</v>
      </c>
      <c r="E384" s="59">
        <f t="shared" si="5"/>
        <v>19</v>
      </c>
      <c r="F384" s="60"/>
    </row>
    <row r="385" ht="18.75" spans="1:6">
      <c r="A385" s="61">
        <v>2130315</v>
      </c>
      <c r="B385" s="57" t="s">
        <v>421</v>
      </c>
      <c r="C385" s="58">
        <v>0</v>
      </c>
      <c r="D385" s="59">
        <f>24.28+9</f>
        <v>33.28</v>
      </c>
      <c r="E385" s="59">
        <f t="shared" si="5"/>
        <v>33.28</v>
      </c>
      <c r="F385" s="60"/>
    </row>
    <row r="386" ht="18.75" spans="1:6">
      <c r="A386" s="61">
        <v>2130316</v>
      </c>
      <c r="B386" s="57" t="s">
        <v>422</v>
      </c>
      <c r="C386" s="58">
        <v>50</v>
      </c>
      <c r="D386" s="59">
        <v>0</v>
      </c>
      <c r="E386" s="59">
        <f t="shared" si="5"/>
        <v>50</v>
      </c>
      <c r="F386" s="60"/>
    </row>
    <row r="387" ht="18.75" spans="1:6">
      <c r="A387" s="61">
        <v>2130335</v>
      </c>
      <c r="B387" s="57" t="s">
        <v>423</v>
      </c>
      <c r="C387" s="58">
        <v>408</v>
      </c>
      <c r="D387" s="59">
        <v>0</v>
      </c>
      <c r="E387" s="59">
        <f t="shared" si="5"/>
        <v>408</v>
      </c>
      <c r="F387" s="60"/>
    </row>
    <row r="388" ht="18.75" spans="1:6">
      <c r="A388" s="61">
        <v>2130399</v>
      </c>
      <c r="B388" s="57" t="s">
        <v>424</v>
      </c>
      <c r="C388" s="58">
        <v>1087</v>
      </c>
      <c r="D388" s="59">
        <f>-18.5699999999999+20</f>
        <v>1.4300000000001</v>
      </c>
      <c r="E388" s="59">
        <f t="shared" si="5"/>
        <v>1088.43</v>
      </c>
      <c r="F388" s="60"/>
    </row>
    <row r="389" ht="18.75" spans="1:6">
      <c r="A389" s="56">
        <v>21305</v>
      </c>
      <c r="B389" s="57" t="s">
        <v>425</v>
      </c>
      <c r="C389" s="58">
        <v>5542.65</v>
      </c>
      <c r="D389" s="59">
        <f>13462.487298-8900-1100+260</f>
        <v>3722.487298</v>
      </c>
      <c r="E389" s="59">
        <f t="shared" si="5"/>
        <v>9265.137298</v>
      </c>
      <c r="F389" s="60"/>
    </row>
    <row r="390" ht="18.75" spans="1:6">
      <c r="A390" s="61">
        <v>2130504</v>
      </c>
      <c r="B390" s="57" t="s">
        <v>426</v>
      </c>
      <c r="C390" s="58">
        <v>563.65</v>
      </c>
      <c r="D390" s="59">
        <f>7331.487298-6000</f>
        <v>1331.487298</v>
      </c>
      <c r="E390" s="59">
        <f t="shared" si="5"/>
        <v>1895.137298</v>
      </c>
      <c r="F390" s="60"/>
    </row>
    <row r="391" ht="18.75" spans="1:6">
      <c r="A391" s="61">
        <v>2130505</v>
      </c>
      <c r="B391" s="57" t="s">
        <v>427</v>
      </c>
      <c r="C391" s="58">
        <v>4619</v>
      </c>
      <c r="D391" s="59">
        <f>2995.6-2900+260</f>
        <v>355.6</v>
      </c>
      <c r="E391" s="59">
        <f t="shared" si="5"/>
        <v>4974.6</v>
      </c>
      <c r="F391" s="60"/>
    </row>
    <row r="392" ht="18.75" spans="1:6">
      <c r="A392" s="61">
        <v>2130507</v>
      </c>
      <c r="B392" s="57" t="s">
        <v>428</v>
      </c>
      <c r="C392" s="58">
        <v>0</v>
      </c>
      <c r="D392" s="59">
        <v>3</v>
      </c>
      <c r="E392" s="59">
        <f t="shared" si="5"/>
        <v>3</v>
      </c>
      <c r="F392" s="60"/>
    </row>
    <row r="393" ht="37.5" spans="1:6">
      <c r="A393" s="61">
        <v>2130599</v>
      </c>
      <c r="B393" s="57" t="s">
        <v>429</v>
      </c>
      <c r="C393" s="58">
        <v>360</v>
      </c>
      <c r="D393" s="59">
        <f>3132.4-1100</f>
        <v>2032.4</v>
      </c>
      <c r="E393" s="59">
        <f t="shared" ref="E393:E456" si="6">C393+D393</f>
        <v>2392.4</v>
      </c>
      <c r="F393" s="60"/>
    </row>
    <row r="394" ht="18.75" spans="1:6">
      <c r="A394" s="56">
        <v>21307</v>
      </c>
      <c r="B394" s="57" t="s">
        <v>430</v>
      </c>
      <c r="C394" s="58">
        <v>11931.452</v>
      </c>
      <c r="D394" s="59">
        <v>134.960416</v>
      </c>
      <c r="E394" s="59">
        <f t="shared" si="6"/>
        <v>12066.412416</v>
      </c>
      <c r="F394" s="60"/>
    </row>
    <row r="395" ht="18.75" spans="1:6">
      <c r="A395" s="61">
        <v>2130701</v>
      </c>
      <c r="B395" s="57" t="s">
        <v>431</v>
      </c>
      <c r="C395" s="58">
        <v>1945.12</v>
      </c>
      <c r="D395" s="59">
        <v>122.822389</v>
      </c>
      <c r="E395" s="59">
        <f t="shared" si="6"/>
        <v>2067.942389</v>
      </c>
      <c r="F395" s="60"/>
    </row>
    <row r="396" ht="18.75" spans="1:6">
      <c r="A396" s="61">
        <v>2130705</v>
      </c>
      <c r="B396" s="57" t="s">
        <v>432</v>
      </c>
      <c r="C396" s="58">
        <v>9986.332</v>
      </c>
      <c r="D396" s="59">
        <v>11.4980269999996</v>
      </c>
      <c r="E396" s="59">
        <f t="shared" si="6"/>
        <v>9997.830027</v>
      </c>
      <c r="F396" s="60"/>
    </row>
    <row r="397" ht="18.75" spans="1:6">
      <c r="A397" s="61">
        <v>2130799</v>
      </c>
      <c r="B397" s="57" t="s">
        <v>433</v>
      </c>
      <c r="C397" s="58">
        <v>0</v>
      </c>
      <c r="D397" s="59">
        <v>0.64</v>
      </c>
      <c r="E397" s="59">
        <f t="shared" si="6"/>
        <v>0.64</v>
      </c>
      <c r="F397" s="60"/>
    </row>
    <row r="398" ht="18.75" spans="1:6">
      <c r="A398" s="56">
        <v>21308</v>
      </c>
      <c r="B398" s="57" t="s">
        <v>434</v>
      </c>
      <c r="C398" s="58">
        <v>330.18</v>
      </c>
      <c r="D398" s="59">
        <f>-37.9348+155</f>
        <v>117.0652</v>
      </c>
      <c r="E398" s="59">
        <f t="shared" si="6"/>
        <v>447.2452</v>
      </c>
      <c r="F398" s="60"/>
    </row>
    <row r="399" ht="18.75" spans="1:6">
      <c r="A399" s="61">
        <v>2130803</v>
      </c>
      <c r="B399" s="57" t="s">
        <v>435</v>
      </c>
      <c r="C399" s="58">
        <v>285.18</v>
      </c>
      <c r="D399" s="59">
        <f>-37.9348+155</f>
        <v>117.0652</v>
      </c>
      <c r="E399" s="59">
        <f t="shared" si="6"/>
        <v>402.2452</v>
      </c>
      <c r="F399" s="60"/>
    </row>
    <row r="400" ht="18.75" spans="1:6">
      <c r="A400" s="61">
        <v>2130899</v>
      </c>
      <c r="B400" s="57" t="s">
        <v>436</v>
      </c>
      <c r="C400" s="58">
        <v>45</v>
      </c>
      <c r="D400" s="59">
        <v>0</v>
      </c>
      <c r="E400" s="59">
        <f t="shared" si="6"/>
        <v>45</v>
      </c>
      <c r="F400" s="60"/>
    </row>
    <row r="401" ht="18.75" spans="1:6">
      <c r="A401" s="56">
        <v>21399</v>
      </c>
      <c r="B401" s="57" t="s">
        <v>437</v>
      </c>
      <c r="C401" s="58">
        <v>5298.57</v>
      </c>
      <c r="D401" s="59">
        <v>-909.775779999999</v>
      </c>
      <c r="E401" s="59">
        <f t="shared" si="6"/>
        <v>4388.79422</v>
      </c>
      <c r="F401" s="60"/>
    </row>
    <row r="402" ht="18.75" spans="1:6">
      <c r="A402" s="61">
        <v>2139999</v>
      </c>
      <c r="B402" s="57" t="s">
        <v>437</v>
      </c>
      <c r="C402" s="58">
        <v>5298.57</v>
      </c>
      <c r="D402" s="59">
        <v>-909.775779999999</v>
      </c>
      <c r="E402" s="59">
        <f t="shared" si="6"/>
        <v>4388.79422</v>
      </c>
      <c r="F402" s="60"/>
    </row>
    <row r="403" ht="18.75" spans="1:6">
      <c r="A403" s="56">
        <v>214</v>
      </c>
      <c r="B403" s="57" t="s">
        <v>438</v>
      </c>
      <c r="C403" s="58">
        <v>6634.97</v>
      </c>
      <c r="D403" s="59">
        <v>178.2904</v>
      </c>
      <c r="E403" s="59">
        <f t="shared" si="6"/>
        <v>6813.2604</v>
      </c>
      <c r="F403" s="60"/>
    </row>
    <row r="404" ht="18.75" spans="1:6">
      <c r="A404" s="56">
        <v>21401</v>
      </c>
      <c r="B404" s="57" t="s">
        <v>439</v>
      </c>
      <c r="C404" s="58">
        <v>6634.97</v>
      </c>
      <c r="D404" s="59">
        <v>178.2904</v>
      </c>
      <c r="E404" s="59">
        <f t="shared" si="6"/>
        <v>6813.2604</v>
      </c>
      <c r="F404" s="60"/>
    </row>
    <row r="405" ht="18.75" spans="1:6">
      <c r="A405" s="61">
        <v>2140101</v>
      </c>
      <c r="B405" s="57" t="s">
        <v>117</v>
      </c>
      <c r="C405" s="58">
        <v>988.05</v>
      </c>
      <c r="D405" s="59">
        <v>138.9854</v>
      </c>
      <c r="E405" s="59">
        <f t="shared" si="6"/>
        <v>1127.0354</v>
      </c>
      <c r="F405" s="60"/>
    </row>
    <row r="406" ht="18.75" spans="1:6">
      <c r="A406" s="61">
        <v>2140104</v>
      </c>
      <c r="B406" s="57" t="s">
        <v>440</v>
      </c>
      <c r="C406" s="58">
        <v>4984.06</v>
      </c>
      <c r="D406" s="59">
        <v>92.6189999999997</v>
      </c>
      <c r="E406" s="59">
        <f t="shared" si="6"/>
        <v>5076.679</v>
      </c>
      <c r="F406" s="60"/>
    </row>
    <row r="407" ht="18.75" spans="1:6">
      <c r="A407" s="61">
        <v>2140106</v>
      </c>
      <c r="B407" s="57" t="s">
        <v>441</v>
      </c>
      <c r="C407" s="58">
        <v>461</v>
      </c>
      <c r="D407" s="59">
        <v>-152.619</v>
      </c>
      <c r="E407" s="59">
        <f t="shared" si="6"/>
        <v>308.381</v>
      </c>
      <c r="F407" s="60"/>
    </row>
    <row r="408" ht="18.75" spans="1:6">
      <c r="A408" s="61">
        <v>2140112</v>
      </c>
      <c r="B408" s="57" t="s">
        <v>442</v>
      </c>
      <c r="C408" s="58">
        <v>97</v>
      </c>
      <c r="D408" s="59">
        <v>70</v>
      </c>
      <c r="E408" s="59">
        <f t="shared" si="6"/>
        <v>167</v>
      </c>
      <c r="F408" s="60"/>
    </row>
    <row r="409" ht="18.75" spans="1:6">
      <c r="A409" s="61">
        <v>2140131</v>
      </c>
      <c r="B409" s="57" t="s">
        <v>443</v>
      </c>
      <c r="C409" s="58">
        <v>104.87</v>
      </c>
      <c r="D409" s="59">
        <v>29.295</v>
      </c>
      <c r="E409" s="59">
        <f t="shared" si="6"/>
        <v>134.165</v>
      </c>
      <c r="F409" s="60"/>
    </row>
    <row r="410" ht="18.75" spans="1:6">
      <c r="A410" s="56">
        <v>215</v>
      </c>
      <c r="B410" s="57" t="s">
        <v>444</v>
      </c>
      <c r="C410" s="58">
        <v>3894.14</v>
      </c>
      <c r="D410" s="59">
        <v>293.3916</v>
      </c>
      <c r="E410" s="59">
        <f t="shared" si="6"/>
        <v>4187.5316</v>
      </c>
      <c r="F410" s="60"/>
    </row>
    <row r="411" ht="18.75" spans="1:6">
      <c r="A411" s="56">
        <v>21503</v>
      </c>
      <c r="B411" s="57" t="s">
        <v>445</v>
      </c>
      <c r="C411" s="58">
        <v>0</v>
      </c>
      <c r="D411" s="59">
        <v>100</v>
      </c>
      <c r="E411" s="59">
        <f t="shared" si="6"/>
        <v>100</v>
      </c>
      <c r="F411" s="60"/>
    </row>
    <row r="412" ht="18.75" spans="1:6">
      <c r="A412" s="61">
        <v>2150399</v>
      </c>
      <c r="B412" s="57" t="s">
        <v>446</v>
      </c>
      <c r="C412" s="58">
        <v>0</v>
      </c>
      <c r="D412" s="59">
        <v>100</v>
      </c>
      <c r="E412" s="59">
        <f t="shared" si="6"/>
        <v>100</v>
      </c>
      <c r="F412" s="60"/>
    </row>
    <row r="413" ht="18.75" spans="1:6">
      <c r="A413" s="56">
        <v>21505</v>
      </c>
      <c r="B413" s="57" t="s">
        <v>447</v>
      </c>
      <c r="C413" s="58">
        <v>3894.14</v>
      </c>
      <c r="D413" s="59">
        <v>93.3915999999999</v>
      </c>
      <c r="E413" s="59">
        <f t="shared" si="6"/>
        <v>3987.5316</v>
      </c>
      <c r="F413" s="60"/>
    </row>
    <row r="414" ht="18.75" spans="1:6">
      <c r="A414" s="61">
        <v>2150501</v>
      </c>
      <c r="B414" s="57" t="s">
        <v>117</v>
      </c>
      <c r="C414" s="58">
        <v>604.69</v>
      </c>
      <c r="D414" s="59">
        <v>93.3915999999999</v>
      </c>
      <c r="E414" s="59">
        <f t="shared" si="6"/>
        <v>698.0816</v>
      </c>
      <c r="F414" s="60"/>
    </row>
    <row r="415" ht="18.75" spans="1:6">
      <c r="A415" s="61">
        <v>2150502</v>
      </c>
      <c r="B415" s="57" t="s">
        <v>118</v>
      </c>
      <c r="C415" s="58">
        <v>580</v>
      </c>
      <c r="D415" s="59">
        <v>0</v>
      </c>
      <c r="E415" s="59">
        <f t="shared" si="6"/>
        <v>580</v>
      </c>
      <c r="F415" s="60"/>
    </row>
    <row r="416" ht="18.75" spans="1:6">
      <c r="A416" s="61">
        <v>2150517</v>
      </c>
      <c r="B416" s="57" t="s">
        <v>448</v>
      </c>
      <c r="C416" s="58">
        <v>2709.45</v>
      </c>
      <c r="D416" s="59">
        <v>0</v>
      </c>
      <c r="E416" s="59">
        <f t="shared" si="6"/>
        <v>2709.45</v>
      </c>
      <c r="F416" s="60"/>
    </row>
    <row r="417" ht="18.75" spans="1:6">
      <c r="A417" s="56">
        <v>21599</v>
      </c>
      <c r="B417" s="57" t="s">
        <v>449</v>
      </c>
      <c r="C417" s="58">
        <v>0</v>
      </c>
      <c r="D417" s="59">
        <v>100</v>
      </c>
      <c r="E417" s="59">
        <f t="shared" si="6"/>
        <v>100</v>
      </c>
      <c r="F417" s="60"/>
    </row>
    <row r="418" ht="18.75" spans="1:6">
      <c r="A418" s="61">
        <v>2159999</v>
      </c>
      <c r="B418" s="57" t="s">
        <v>449</v>
      </c>
      <c r="C418" s="58">
        <v>0</v>
      </c>
      <c r="D418" s="59">
        <v>100</v>
      </c>
      <c r="E418" s="59">
        <f t="shared" si="6"/>
        <v>100</v>
      </c>
      <c r="F418" s="60"/>
    </row>
    <row r="419" ht="18.75" spans="1:6">
      <c r="A419" s="56">
        <v>216</v>
      </c>
      <c r="B419" s="57" t="s">
        <v>450</v>
      </c>
      <c r="C419" s="58">
        <v>898.52</v>
      </c>
      <c r="D419" s="59">
        <v>54.824691</v>
      </c>
      <c r="E419" s="59">
        <f t="shared" si="6"/>
        <v>953.344691</v>
      </c>
      <c r="F419" s="60"/>
    </row>
    <row r="420" ht="18.75" spans="1:6">
      <c r="A420" s="56">
        <v>21602</v>
      </c>
      <c r="B420" s="57" t="s">
        <v>451</v>
      </c>
      <c r="C420" s="58">
        <v>705.66</v>
      </c>
      <c r="D420" s="59">
        <v>54.8212</v>
      </c>
      <c r="E420" s="59">
        <f t="shared" si="6"/>
        <v>760.4812</v>
      </c>
      <c r="F420" s="60"/>
    </row>
    <row r="421" ht="18.75" spans="1:6">
      <c r="A421" s="61">
        <v>2160201</v>
      </c>
      <c r="B421" s="57" t="s">
        <v>117</v>
      </c>
      <c r="C421" s="58">
        <v>301.66</v>
      </c>
      <c r="D421" s="59">
        <v>5.12119999999999</v>
      </c>
      <c r="E421" s="59">
        <f t="shared" si="6"/>
        <v>306.7812</v>
      </c>
      <c r="F421" s="60"/>
    </row>
    <row r="422" ht="18.75" spans="1:6">
      <c r="A422" s="61">
        <v>2160299</v>
      </c>
      <c r="B422" s="57" t="s">
        <v>452</v>
      </c>
      <c r="C422" s="58">
        <v>404</v>
      </c>
      <c r="D422" s="59">
        <v>49.7</v>
      </c>
      <c r="E422" s="59">
        <f t="shared" si="6"/>
        <v>453.7</v>
      </c>
      <c r="F422" s="60"/>
    </row>
    <row r="423" ht="18.75" spans="1:6">
      <c r="A423" s="56">
        <v>21699</v>
      </c>
      <c r="B423" s="57" t="s">
        <v>453</v>
      </c>
      <c r="C423" s="58">
        <v>192.86</v>
      </c>
      <c r="D423" s="59">
        <v>0.00349099999996838</v>
      </c>
      <c r="E423" s="59">
        <f t="shared" si="6"/>
        <v>192.863491</v>
      </c>
      <c r="F423" s="60"/>
    </row>
    <row r="424" ht="18.75" spans="1:6">
      <c r="A424" s="61">
        <v>2169999</v>
      </c>
      <c r="B424" s="57" t="s">
        <v>453</v>
      </c>
      <c r="C424" s="58">
        <v>192.86</v>
      </c>
      <c r="D424" s="59">
        <v>0.00349099999996838</v>
      </c>
      <c r="E424" s="59">
        <f t="shared" si="6"/>
        <v>192.863491</v>
      </c>
      <c r="F424" s="60"/>
    </row>
    <row r="425" ht="18.75" spans="1:6">
      <c r="A425" s="56">
        <v>217</v>
      </c>
      <c r="B425" s="57" t="s">
        <v>454</v>
      </c>
      <c r="C425" s="58">
        <v>107.16</v>
      </c>
      <c r="D425" s="59">
        <v>17.924</v>
      </c>
      <c r="E425" s="59">
        <f t="shared" si="6"/>
        <v>125.084</v>
      </c>
      <c r="F425" s="60"/>
    </row>
    <row r="426" ht="18.75" spans="1:6">
      <c r="A426" s="56">
        <v>21701</v>
      </c>
      <c r="B426" s="57" t="s">
        <v>455</v>
      </c>
      <c r="C426" s="58">
        <v>107.16</v>
      </c>
      <c r="D426" s="59">
        <v>17.924</v>
      </c>
      <c r="E426" s="59">
        <f t="shared" si="6"/>
        <v>125.084</v>
      </c>
      <c r="F426" s="60"/>
    </row>
    <row r="427" ht="18.75" spans="1:6">
      <c r="A427" s="61">
        <v>2170101</v>
      </c>
      <c r="B427" s="57" t="s">
        <v>117</v>
      </c>
      <c r="C427" s="58">
        <v>107.16</v>
      </c>
      <c r="D427" s="59">
        <v>17.924</v>
      </c>
      <c r="E427" s="59">
        <f t="shared" si="6"/>
        <v>125.084</v>
      </c>
      <c r="F427" s="60"/>
    </row>
    <row r="428" ht="18.75" spans="1:6">
      <c r="A428" s="56">
        <v>219</v>
      </c>
      <c r="B428" s="57" t="s">
        <v>456</v>
      </c>
      <c r="C428" s="58">
        <v>0</v>
      </c>
      <c r="D428" s="59">
        <v>5</v>
      </c>
      <c r="E428" s="59">
        <f t="shared" si="6"/>
        <v>5</v>
      </c>
      <c r="F428" s="60"/>
    </row>
    <row r="429" ht="18.75" spans="1:6">
      <c r="A429" s="56">
        <v>21999</v>
      </c>
      <c r="B429" s="57" t="s">
        <v>457</v>
      </c>
      <c r="C429" s="58">
        <v>0</v>
      </c>
      <c r="D429" s="59">
        <v>5</v>
      </c>
      <c r="E429" s="59">
        <f t="shared" si="6"/>
        <v>5</v>
      </c>
      <c r="F429" s="60"/>
    </row>
    <row r="430" ht="18.75" spans="1:6">
      <c r="A430" s="61">
        <v>21999</v>
      </c>
      <c r="B430" s="57" t="s">
        <v>457</v>
      </c>
      <c r="C430" s="58">
        <v>0</v>
      </c>
      <c r="D430" s="59">
        <v>5</v>
      </c>
      <c r="E430" s="59">
        <f t="shared" si="6"/>
        <v>5</v>
      </c>
      <c r="F430" s="60"/>
    </row>
    <row r="431" ht="18.75" spans="1:6">
      <c r="A431" s="56">
        <v>220</v>
      </c>
      <c r="B431" s="57" t="s">
        <v>458</v>
      </c>
      <c r="C431" s="58">
        <v>5214.58</v>
      </c>
      <c r="D431" s="59">
        <f>-20.522618+555</f>
        <v>534.477382</v>
      </c>
      <c r="E431" s="59">
        <f t="shared" si="6"/>
        <v>5749.057382</v>
      </c>
      <c r="F431" s="60"/>
    </row>
    <row r="432" ht="18.75" spans="1:6">
      <c r="A432" s="56">
        <v>22001</v>
      </c>
      <c r="B432" s="57" t="s">
        <v>459</v>
      </c>
      <c r="C432" s="58">
        <v>5054.02</v>
      </c>
      <c r="D432" s="59">
        <f>-28.167418+539</f>
        <v>510.832582</v>
      </c>
      <c r="E432" s="59">
        <f t="shared" si="6"/>
        <v>5564.852582</v>
      </c>
      <c r="F432" s="60"/>
    </row>
    <row r="433" ht="18.75" spans="1:6">
      <c r="A433" s="61">
        <v>2200101</v>
      </c>
      <c r="B433" s="57" t="s">
        <v>117</v>
      </c>
      <c r="C433" s="58">
        <v>3515.92</v>
      </c>
      <c r="D433" s="59">
        <v>393.171616</v>
      </c>
      <c r="E433" s="59">
        <f t="shared" si="6"/>
        <v>3909.091616</v>
      </c>
      <c r="F433" s="60"/>
    </row>
    <row r="434" ht="18.75" spans="1:6">
      <c r="A434" s="61">
        <v>2200104</v>
      </c>
      <c r="B434" s="57" t="s">
        <v>460</v>
      </c>
      <c r="C434" s="58">
        <v>0</v>
      </c>
      <c r="D434" s="59">
        <v>30.72</v>
      </c>
      <c r="E434" s="59">
        <f t="shared" si="6"/>
        <v>30.72</v>
      </c>
      <c r="F434" s="60"/>
    </row>
    <row r="435" ht="18.75" spans="1:6">
      <c r="A435" s="61">
        <v>2200106</v>
      </c>
      <c r="B435" s="57" t="s">
        <v>461</v>
      </c>
      <c r="C435" s="58">
        <v>940</v>
      </c>
      <c r="D435" s="59">
        <f>-422.359034+539</f>
        <v>116.640966</v>
      </c>
      <c r="E435" s="59">
        <f t="shared" si="6"/>
        <v>1056.640966</v>
      </c>
      <c r="F435" s="60"/>
    </row>
    <row r="436" ht="18.75" spans="1:6">
      <c r="A436" s="61">
        <v>2200108</v>
      </c>
      <c r="B436" s="57" t="s">
        <v>462</v>
      </c>
      <c r="C436" s="58">
        <v>29.1</v>
      </c>
      <c r="D436" s="59">
        <v>-9.7</v>
      </c>
      <c r="E436" s="59">
        <f t="shared" si="6"/>
        <v>19.4</v>
      </c>
      <c r="F436" s="60"/>
    </row>
    <row r="437" ht="18.75" spans="1:6">
      <c r="A437" s="61">
        <v>2200109</v>
      </c>
      <c r="B437" s="57" t="s">
        <v>463</v>
      </c>
      <c r="C437" s="58">
        <v>360</v>
      </c>
      <c r="D437" s="59">
        <v>0</v>
      </c>
      <c r="E437" s="59">
        <f t="shared" si="6"/>
        <v>360</v>
      </c>
      <c r="F437" s="60"/>
    </row>
    <row r="438" ht="18.75" spans="1:6">
      <c r="A438" s="61">
        <v>2200114</v>
      </c>
      <c r="B438" s="57" t="s">
        <v>464</v>
      </c>
      <c r="C438" s="58">
        <v>130</v>
      </c>
      <c r="D438" s="59">
        <v>-20</v>
      </c>
      <c r="E438" s="59">
        <f t="shared" si="6"/>
        <v>110</v>
      </c>
      <c r="F438" s="60"/>
    </row>
    <row r="439" ht="18.75" spans="1:6">
      <c r="A439" s="61">
        <v>2200199</v>
      </c>
      <c r="B439" s="57" t="s">
        <v>465</v>
      </c>
      <c r="C439" s="58">
        <v>79</v>
      </c>
      <c r="D439" s="59">
        <v>0</v>
      </c>
      <c r="E439" s="59">
        <f t="shared" si="6"/>
        <v>79</v>
      </c>
      <c r="F439" s="60"/>
    </row>
    <row r="440" ht="18.75" spans="1:6">
      <c r="A440" s="56">
        <v>22005</v>
      </c>
      <c r="B440" s="57" t="s">
        <v>466</v>
      </c>
      <c r="C440" s="58">
        <v>160.56</v>
      </c>
      <c r="D440" s="59">
        <f>7.6448+16</f>
        <v>23.6448</v>
      </c>
      <c r="E440" s="59">
        <f t="shared" si="6"/>
        <v>184.2048</v>
      </c>
      <c r="F440" s="60"/>
    </row>
    <row r="441" ht="18.75" spans="1:6">
      <c r="A441" s="61">
        <v>2200501</v>
      </c>
      <c r="B441" s="57" t="s">
        <v>117</v>
      </c>
      <c r="C441" s="58">
        <v>110.56</v>
      </c>
      <c r="D441" s="59">
        <v>7.6448</v>
      </c>
      <c r="E441" s="59">
        <f t="shared" si="6"/>
        <v>118.2048</v>
      </c>
      <c r="F441" s="60"/>
    </row>
    <row r="442" ht="18.75" spans="1:6">
      <c r="A442" s="61">
        <v>2200509</v>
      </c>
      <c r="B442" s="57" t="s">
        <v>467</v>
      </c>
      <c r="C442" s="58">
        <v>50</v>
      </c>
      <c r="D442" s="59">
        <f>0+16</f>
        <v>16</v>
      </c>
      <c r="E442" s="59">
        <f t="shared" si="6"/>
        <v>66</v>
      </c>
      <c r="F442" s="60"/>
    </row>
    <row r="443" ht="18.75" spans="1:6">
      <c r="A443" s="56">
        <v>221</v>
      </c>
      <c r="B443" s="57" t="s">
        <v>468</v>
      </c>
      <c r="C443" s="58">
        <v>7349.33</v>
      </c>
      <c r="D443" s="59">
        <f>7404.03534+300</f>
        <v>7704.03534</v>
      </c>
      <c r="E443" s="59">
        <f t="shared" si="6"/>
        <v>15053.36534</v>
      </c>
      <c r="F443" s="60"/>
    </row>
    <row r="444" ht="18.75" spans="1:6">
      <c r="A444" s="56">
        <v>22101</v>
      </c>
      <c r="B444" s="57" t="s">
        <v>469</v>
      </c>
      <c r="C444" s="58">
        <v>1081.57</v>
      </c>
      <c r="D444" s="59">
        <f>7158.65556+300</f>
        <v>7458.65556</v>
      </c>
      <c r="E444" s="59">
        <f t="shared" si="6"/>
        <v>8540.22556</v>
      </c>
      <c r="F444" s="60"/>
    </row>
    <row r="445" ht="18.75" spans="1:6">
      <c r="A445" s="61">
        <v>2210103</v>
      </c>
      <c r="B445" s="57" t="s">
        <v>470</v>
      </c>
      <c r="C445" s="58">
        <v>117.83</v>
      </c>
      <c r="D445" s="59">
        <f>391.67+300</f>
        <v>691.67</v>
      </c>
      <c r="E445" s="59">
        <f t="shared" si="6"/>
        <v>809.5</v>
      </c>
      <c r="F445" s="60"/>
    </row>
    <row r="446" ht="18.75" spans="1:6">
      <c r="A446" s="61">
        <v>2210105</v>
      </c>
      <c r="B446" s="57" t="s">
        <v>471</v>
      </c>
      <c r="C446" s="58">
        <v>120</v>
      </c>
      <c r="D446" s="59">
        <v>265.12</v>
      </c>
      <c r="E446" s="59">
        <f t="shared" si="6"/>
        <v>385.12</v>
      </c>
      <c r="F446" s="60"/>
    </row>
    <row r="447" ht="18.75" spans="1:6">
      <c r="A447" s="61">
        <v>2210108</v>
      </c>
      <c r="B447" s="57" t="s">
        <v>472</v>
      </c>
      <c r="C447" s="58">
        <v>120</v>
      </c>
      <c r="D447" s="59">
        <v>6669.64</v>
      </c>
      <c r="E447" s="59">
        <f t="shared" si="6"/>
        <v>6789.64</v>
      </c>
      <c r="F447" s="60"/>
    </row>
    <row r="448" ht="18.75" spans="1:6">
      <c r="A448" s="61">
        <v>2210111</v>
      </c>
      <c r="B448" s="57" t="s">
        <v>473</v>
      </c>
      <c r="C448" s="58">
        <v>454.9</v>
      </c>
      <c r="D448" s="59">
        <v>-148.17444</v>
      </c>
      <c r="E448" s="59">
        <f t="shared" si="6"/>
        <v>306.72556</v>
      </c>
      <c r="F448" s="60"/>
    </row>
    <row r="449" ht="18.75" spans="1:6">
      <c r="A449" s="61">
        <v>2210199</v>
      </c>
      <c r="B449" s="57" t="s">
        <v>474</v>
      </c>
      <c r="C449" s="58">
        <v>268.84</v>
      </c>
      <c r="D449" s="59">
        <v>-19.3</v>
      </c>
      <c r="E449" s="59">
        <f t="shared" si="6"/>
        <v>249.54</v>
      </c>
      <c r="F449" s="60"/>
    </row>
    <row r="450" ht="18.75" spans="1:6">
      <c r="A450" s="56">
        <v>22102</v>
      </c>
      <c r="B450" s="57" t="s">
        <v>475</v>
      </c>
      <c r="C450" s="58">
        <v>6267.76</v>
      </c>
      <c r="D450" s="59">
        <v>245.379779999999</v>
      </c>
      <c r="E450" s="59">
        <f t="shared" si="6"/>
        <v>6513.13978</v>
      </c>
      <c r="F450" s="60"/>
    </row>
    <row r="451" ht="18.75" spans="1:6">
      <c r="A451" s="61">
        <v>2210201</v>
      </c>
      <c r="B451" s="57" t="s">
        <v>476</v>
      </c>
      <c r="C451" s="58">
        <v>6267.76</v>
      </c>
      <c r="D451" s="59">
        <v>245.379779999999</v>
      </c>
      <c r="E451" s="59">
        <f t="shared" si="6"/>
        <v>6513.13978</v>
      </c>
      <c r="F451" s="60"/>
    </row>
    <row r="452" ht="18.75" spans="1:6">
      <c r="A452" s="56">
        <v>222</v>
      </c>
      <c r="B452" s="57" t="s">
        <v>477</v>
      </c>
      <c r="C452" s="58">
        <v>1055.02</v>
      </c>
      <c r="D452" s="59">
        <v>349.579715</v>
      </c>
      <c r="E452" s="59">
        <f t="shared" si="6"/>
        <v>1404.599715</v>
      </c>
      <c r="F452" s="60"/>
    </row>
    <row r="453" ht="18.75" spans="1:6">
      <c r="A453" s="56">
        <v>22201</v>
      </c>
      <c r="B453" s="57" t="s">
        <v>478</v>
      </c>
      <c r="C453" s="58">
        <v>905.02</v>
      </c>
      <c r="D453" s="59">
        <v>313.087</v>
      </c>
      <c r="E453" s="59">
        <f t="shared" si="6"/>
        <v>1218.107</v>
      </c>
      <c r="F453" s="60"/>
    </row>
    <row r="454" ht="18.75" spans="1:6">
      <c r="A454" s="61">
        <v>2220115</v>
      </c>
      <c r="B454" s="57" t="s">
        <v>479</v>
      </c>
      <c r="C454" s="58">
        <v>350</v>
      </c>
      <c r="D454" s="59">
        <v>0</v>
      </c>
      <c r="E454" s="59">
        <f t="shared" si="6"/>
        <v>350</v>
      </c>
      <c r="F454" s="60"/>
    </row>
    <row r="455" ht="18.75" spans="1:6">
      <c r="A455" s="61">
        <v>2220199</v>
      </c>
      <c r="B455" s="57" t="s">
        <v>480</v>
      </c>
      <c r="C455" s="58">
        <v>555.02</v>
      </c>
      <c r="D455" s="59">
        <v>313.087</v>
      </c>
      <c r="E455" s="59">
        <f t="shared" si="6"/>
        <v>868.107</v>
      </c>
      <c r="F455" s="60"/>
    </row>
    <row r="456" ht="18.75" spans="1:6">
      <c r="A456" s="56">
        <v>22205</v>
      </c>
      <c r="B456" s="57" t="s">
        <v>481</v>
      </c>
      <c r="C456" s="58">
        <v>150</v>
      </c>
      <c r="D456" s="59">
        <v>36.492715</v>
      </c>
      <c r="E456" s="59">
        <f t="shared" si="6"/>
        <v>186.492715</v>
      </c>
      <c r="F456" s="60"/>
    </row>
    <row r="457" ht="18.75" spans="1:6">
      <c r="A457" s="61">
        <v>2220504</v>
      </c>
      <c r="B457" s="57" t="s">
        <v>482</v>
      </c>
      <c r="C457" s="58">
        <v>0</v>
      </c>
      <c r="D457" s="59">
        <v>36.492715</v>
      </c>
      <c r="E457" s="59">
        <f t="shared" ref="E457:E462" si="7">C457+D457</f>
        <v>36.492715</v>
      </c>
      <c r="F457" s="60"/>
    </row>
    <row r="458" ht="18.75" spans="1:6">
      <c r="A458" s="61">
        <v>2220511</v>
      </c>
      <c r="B458" s="57" t="s">
        <v>483</v>
      </c>
      <c r="C458" s="58">
        <v>150</v>
      </c>
      <c r="D458" s="59">
        <v>0</v>
      </c>
      <c r="E458" s="59">
        <f t="shared" si="7"/>
        <v>150</v>
      </c>
      <c r="F458" s="60"/>
    </row>
    <row r="459" ht="18.75" spans="1:6">
      <c r="A459" s="56">
        <v>224</v>
      </c>
      <c r="B459" s="57" t="s">
        <v>484</v>
      </c>
      <c r="C459" s="58">
        <v>3120.3</v>
      </c>
      <c r="D459" s="59">
        <f>2370.631551+98</f>
        <v>2468.631551</v>
      </c>
      <c r="E459" s="59">
        <f t="shared" si="7"/>
        <v>5588.931551</v>
      </c>
      <c r="F459" s="60"/>
    </row>
    <row r="460" ht="18.75" spans="1:6">
      <c r="A460" s="56">
        <v>22401</v>
      </c>
      <c r="B460" s="57" t="s">
        <v>485</v>
      </c>
      <c r="C460" s="58">
        <v>1108.4</v>
      </c>
      <c r="D460" s="59">
        <f>397.8223+98</f>
        <v>495.8223</v>
      </c>
      <c r="E460" s="59">
        <f t="shared" si="7"/>
        <v>1604.2223</v>
      </c>
      <c r="F460" s="60"/>
    </row>
    <row r="461" ht="18.75" spans="1:6">
      <c r="A461" s="61">
        <v>2240101</v>
      </c>
      <c r="B461" s="57" t="s">
        <v>117</v>
      </c>
      <c r="C461" s="58">
        <v>845.95</v>
      </c>
      <c r="D461" s="59">
        <v>88.9227</v>
      </c>
      <c r="E461" s="59">
        <f t="shared" si="7"/>
        <v>934.8727</v>
      </c>
      <c r="F461" s="60"/>
    </row>
    <row r="462" ht="18.75" spans="1:6">
      <c r="A462" s="61">
        <v>2240104</v>
      </c>
      <c r="B462" s="57" t="s">
        <v>486</v>
      </c>
      <c r="C462" s="58">
        <v>0</v>
      </c>
      <c r="D462" s="59">
        <f>0+58</f>
        <v>58</v>
      </c>
      <c r="E462" s="59">
        <f t="shared" si="7"/>
        <v>58</v>
      </c>
      <c r="F462" s="60"/>
    </row>
    <row r="463" ht="18.75" spans="1:6">
      <c r="A463" s="61">
        <v>2240106</v>
      </c>
      <c r="B463" s="57" t="s">
        <v>487</v>
      </c>
      <c r="C463" s="58">
        <v>50</v>
      </c>
      <c r="D463" s="59">
        <v>48.9</v>
      </c>
      <c r="E463" s="59">
        <f t="shared" ref="E463:E488" si="8">C463+D463</f>
        <v>98.9</v>
      </c>
      <c r="F463" s="60"/>
    </row>
    <row r="464" ht="18.75" spans="1:6">
      <c r="A464" s="61">
        <v>2240108</v>
      </c>
      <c r="B464" s="57" t="s">
        <v>488</v>
      </c>
      <c r="C464" s="58">
        <v>142</v>
      </c>
      <c r="D464" s="59">
        <v>0</v>
      </c>
      <c r="E464" s="59">
        <f t="shared" si="8"/>
        <v>142</v>
      </c>
      <c r="F464" s="60"/>
    </row>
    <row r="465" ht="18.75" spans="1:6">
      <c r="A465" s="61">
        <v>2240109</v>
      </c>
      <c r="B465" s="57" t="s">
        <v>489</v>
      </c>
      <c r="C465" s="58">
        <v>10.45</v>
      </c>
      <c r="D465" s="59">
        <v>-0.000399999999999068</v>
      </c>
      <c r="E465" s="59">
        <f t="shared" si="8"/>
        <v>10.4496</v>
      </c>
      <c r="F465" s="60"/>
    </row>
    <row r="466" ht="18.75" spans="1:6">
      <c r="A466" s="61">
        <v>2240199</v>
      </c>
      <c r="B466" s="57" t="s">
        <v>490</v>
      </c>
      <c r="C466" s="58">
        <v>60</v>
      </c>
      <c r="D466" s="59">
        <f>260+40</f>
        <v>300</v>
      </c>
      <c r="E466" s="59">
        <f t="shared" si="8"/>
        <v>360</v>
      </c>
      <c r="F466" s="60"/>
    </row>
    <row r="467" ht="18.75" spans="1:6">
      <c r="A467" s="56">
        <v>22402</v>
      </c>
      <c r="B467" s="57" t="s">
        <v>491</v>
      </c>
      <c r="C467" s="58">
        <v>1448.62</v>
      </c>
      <c r="D467" s="59">
        <v>85.0026400000002</v>
      </c>
      <c r="E467" s="59">
        <f t="shared" si="8"/>
        <v>1533.62264</v>
      </c>
      <c r="F467" s="60"/>
    </row>
    <row r="468" ht="18.75" spans="1:6">
      <c r="A468" s="61">
        <v>2240201</v>
      </c>
      <c r="B468" s="57" t="s">
        <v>117</v>
      </c>
      <c r="C468" s="58">
        <v>0</v>
      </c>
      <c r="D468" s="59">
        <v>185</v>
      </c>
      <c r="E468" s="59">
        <f t="shared" si="8"/>
        <v>185</v>
      </c>
      <c r="F468" s="60"/>
    </row>
    <row r="469" ht="18.75" spans="1:6">
      <c r="A469" s="61">
        <v>2240204</v>
      </c>
      <c r="B469" s="57" t="s">
        <v>492</v>
      </c>
      <c r="C469" s="58">
        <v>548.62</v>
      </c>
      <c r="D469" s="59">
        <v>0.00264000000004216</v>
      </c>
      <c r="E469" s="59">
        <f t="shared" si="8"/>
        <v>548.62264</v>
      </c>
      <c r="F469" s="60"/>
    </row>
    <row r="470" ht="18.75" spans="1:6">
      <c r="A470" s="61">
        <v>2240299</v>
      </c>
      <c r="B470" s="57" t="s">
        <v>493</v>
      </c>
      <c r="C470" s="58">
        <v>900</v>
      </c>
      <c r="D470" s="59">
        <v>-100</v>
      </c>
      <c r="E470" s="59">
        <f t="shared" si="8"/>
        <v>800</v>
      </c>
      <c r="F470" s="60"/>
    </row>
    <row r="471" ht="18.75" spans="1:6">
      <c r="A471" s="56">
        <v>22404</v>
      </c>
      <c r="B471" s="57" t="s">
        <v>494</v>
      </c>
      <c r="C471" s="58">
        <v>50</v>
      </c>
      <c r="D471" s="59">
        <v>0</v>
      </c>
      <c r="E471" s="59">
        <f t="shared" si="8"/>
        <v>50</v>
      </c>
      <c r="F471" s="60"/>
    </row>
    <row r="472" ht="18.75" spans="1:6">
      <c r="A472" s="61">
        <v>2240402</v>
      </c>
      <c r="B472" s="57" t="s">
        <v>118</v>
      </c>
      <c r="C472" s="58">
        <v>50</v>
      </c>
      <c r="D472" s="59">
        <v>0</v>
      </c>
      <c r="E472" s="59">
        <f t="shared" si="8"/>
        <v>50</v>
      </c>
      <c r="F472" s="60"/>
    </row>
    <row r="473" ht="18.75" spans="1:6">
      <c r="A473" s="56">
        <v>22406</v>
      </c>
      <c r="B473" s="57" t="s">
        <v>495</v>
      </c>
      <c r="C473" s="58">
        <v>300</v>
      </c>
      <c r="D473" s="59">
        <v>1668.064611</v>
      </c>
      <c r="E473" s="59">
        <f t="shared" si="8"/>
        <v>1968.064611</v>
      </c>
      <c r="F473" s="60"/>
    </row>
    <row r="474" ht="18.75" spans="1:6">
      <c r="A474" s="61">
        <v>2240601</v>
      </c>
      <c r="B474" s="57" t="s">
        <v>496</v>
      </c>
      <c r="C474" s="58">
        <v>300</v>
      </c>
      <c r="D474" s="59">
        <v>1668.064611</v>
      </c>
      <c r="E474" s="59">
        <f t="shared" si="8"/>
        <v>1968.064611</v>
      </c>
      <c r="F474" s="60"/>
    </row>
    <row r="475" ht="18.75" spans="1:6">
      <c r="A475" s="56">
        <v>22407</v>
      </c>
      <c r="B475" s="57" t="s">
        <v>497</v>
      </c>
      <c r="C475" s="58">
        <v>213.28</v>
      </c>
      <c r="D475" s="59">
        <v>219.742</v>
      </c>
      <c r="E475" s="59">
        <f t="shared" si="8"/>
        <v>433.022</v>
      </c>
      <c r="F475" s="60"/>
    </row>
    <row r="476" ht="18.75" spans="1:6">
      <c r="A476" s="61">
        <v>2240703</v>
      </c>
      <c r="B476" s="57" t="s">
        <v>498</v>
      </c>
      <c r="C476" s="58">
        <v>213</v>
      </c>
      <c r="D476" s="59">
        <v>10</v>
      </c>
      <c r="E476" s="59">
        <f t="shared" si="8"/>
        <v>223</v>
      </c>
      <c r="F476" s="60"/>
    </row>
    <row r="477" ht="18.75" spans="1:6">
      <c r="A477" s="61">
        <v>2240799</v>
      </c>
      <c r="B477" s="57" t="s">
        <v>499</v>
      </c>
      <c r="C477" s="58">
        <v>0.28</v>
      </c>
      <c r="D477" s="59">
        <v>209.742</v>
      </c>
      <c r="E477" s="59">
        <f t="shared" si="8"/>
        <v>210.022</v>
      </c>
      <c r="F477" s="60"/>
    </row>
    <row r="478" ht="18.75" spans="1:6">
      <c r="A478" s="56">
        <v>227</v>
      </c>
      <c r="B478" s="57" t="s">
        <v>500</v>
      </c>
      <c r="C478" s="58">
        <v>4000</v>
      </c>
      <c r="D478" s="59">
        <v>0</v>
      </c>
      <c r="E478" s="59">
        <f t="shared" si="8"/>
        <v>4000</v>
      </c>
      <c r="F478" s="60"/>
    </row>
    <row r="479" ht="18.75" spans="1:6">
      <c r="A479" s="56">
        <v>229</v>
      </c>
      <c r="B479" s="57" t="s">
        <v>457</v>
      </c>
      <c r="C479" s="58">
        <v>39260</v>
      </c>
      <c r="D479" s="59">
        <f>-16694.905494-13561-32-8137-160-148</f>
        <v>-38732.905494</v>
      </c>
      <c r="E479" s="59">
        <f t="shared" si="8"/>
        <v>527.094506000001</v>
      </c>
      <c r="F479" s="60"/>
    </row>
    <row r="480" ht="18.75" spans="1:6">
      <c r="A480" s="56">
        <v>22999</v>
      </c>
      <c r="B480" s="57" t="s">
        <v>457</v>
      </c>
      <c r="C480" s="58">
        <v>39260</v>
      </c>
      <c r="D480" s="59">
        <f>-16694.905494-13561-32-8137-160-148</f>
        <v>-38732.905494</v>
      </c>
      <c r="E480" s="59">
        <f t="shared" si="8"/>
        <v>527.094506000001</v>
      </c>
      <c r="F480" s="60"/>
    </row>
    <row r="481" ht="18.75" spans="1:6">
      <c r="A481" s="61">
        <v>2299999</v>
      </c>
      <c r="B481" s="57" t="s">
        <v>457</v>
      </c>
      <c r="C481" s="58">
        <v>39260</v>
      </c>
      <c r="D481" s="59">
        <f>-16694.905494-13561-32-8137-160-148</f>
        <v>-38732.905494</v>
      </c>
      <c r="E481" s="59">
        <f t="shared" si="8"/>
        <v>527.094506000001</v>
      </c>
      <c r="F481" s="60"/>
    </row>
    <row r="482" ht="18.75" spans="1:6">
      <c r="A482" s="56">
        <v>232</v>
      </c>
      <c r="B482" s="57" t="s">
        <v>501</v>
      </c>
      <c r="C482" s="58">
        <v>11390</v>
      </c>
      <c r="D482" s="59">
        <v>0</v>
      </c>
      <c r="E482" s="59">
        <f t="shared" si="8"/>
        <v>11390</v>
      </c>
      <c r="F482" s="60"/>
    </row>
    <row r="483" ht="18.75" spans="1:6">
      <c r="A483" s="56">
        <v>23203</v>
      </c>
      <c r="B483" s="57" t="s">
        <v>502</v>
      </c>
      <c r="C483" s="58">
        <v>11390</v>
      </c>
      <c r="D483" s="59">
        <v>0</v>
      </c>
      <c r="E483" s="59">
        <f t="shared" si="8"/>
        <v>11390</v>
      </c>
      <c r="F483" s="60"/>
    </row>
    <row r="484" ht="18.75" spans="1:6">
      <c r="A484" s="61">
        <v>2320301</v>
      </c>
      <c r="B484" s="57" t="s">
        <v>503</v>
      </c>
      <c r="C484" s="58">
        <v>10840</v>
      </c>
      <c r="D484" s="59">
        <v>0</v>
      </c>
      <c r="E484" s="59">
        <f t="shared" si="8"/>
        <v>10840</v>
      </c>
      <c r="F484" s="60"/>
    </row>
    <row r="485" ht="18.75" spans="1:6">
      <c r="A485" s="61">
        <v>2320303</v>
      </c>
      <c r="B485" s="57" t="s">
        <v>504</v>
      </c>
      <c r="C485" s="58">
        <v>550</v>
      </c>
      <c r="D485" s="59">
        <v>0</v>
      </c>
      <c r="E485" s="59">
        <f t="shared" si="8"/>
        <v>550</v>
      </c>
      <c r="F485" s="60"/>
    </row>
    <row r="486" ht="18.75" spans="1:6">
      <c r="A486" s="56">
        <v>233</v>
      </c>
      <c r="B486" s="57" t="s">
        <v>505</v>
      </c>
      <c r="C486" s="58">
        <v>50</v>
      </c>
      <c r="D486" s="59">
        <v>0</v>
      </c>
      <c r="E486" s="59">
        <f t="shared" si="8"/>
        <v>50</v>
      </c>
      <c r="F486" s="60"/>
    </row>
    <row r="487" ht="18.75" spans="1:6">
      <c r="A487" s="56">
        <v>23303</v>
      </c>
      <c r="B487" s="57" t="s">
        <v>506</v>
      </c>
      <c r="C487" s="58">
        <v>50</v>
      </c>
      <c r="D487" s="59">
        <v>0</v>
      </c>
      <c r="E487" s="59">
        <f t="shared" si="8"/>
        <v>50</v>
      </c>
      <c r="F487" s="60"/>
    </row>
    <row r="488" ht="18.75" spans="1:6">
      <c r="A488" s="64">
        <v>2330301</v>
      </c>
      <c r="B488" s="65" t="s">
        <v>506</v>
      </c>
      <c r="C488" s="58">
        <v>50</v>
      </c>
      <c r="D488" s="59">
        <v>0</v>
      </c>
      <c r="E488" s="59">
        <f t="shared" si="8"/>
        <v>50</v>
      </c>
      <c r="F488" s="60"/>
    </row>
  </sheetData>
  <autoFilter xmlns:etc="http://www.wps.cn/officeDocument/2017/etCustomData" ref="A4:F488" etc:filterBottomFollowUsedRange="0">
    <extLst/>
  </autoFilter>
  <mergeCells count="3">
    <mergeCell ref="A2:F2"/>
    <mergeCell ref="A3:B3"/>
    <mergeCell ref="A6:B6"/>
  </mergeCells>
  <pageMargins left="0.700694444444445" right="0.590277777777778" top="0.590277777777778" bottom="0.590277777777778" header="0.236111111111111" footer="0.472222222222222"/>
  <pageSetup paperSize="9" scale="75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J10" sqref="J10"/>
    </sheetView>
  </sheetViews>
  <sheetFormatPr defaultColWidth="12.1333333333333" defaultRowHeight="15.6" customHeight="1"/>
  <cols>
    <col min="1" max="1" width="20.625" style="2" customWidth="1"/>
    <col min="2" max="2" width="11.625" style="2" customWidth="1"/>
    <col min="3" max="3" width="15.5" style="2" customWidth="1"/>
    <col min="4" max="4" width="11.625" style="2" customWidth="1"/>
    <col min="5" max="5" width="28.625" style="2" customWidth="1"/>
    <col min="6" max="6" width="11.625" style="2" customWidth="1"/>
    <col min="7" max="7" width="15.5" style="2" customWidth="1"/>
    <col min="8" max="8" width="11.625" style="2" customWidth="1"/>
    <col min="9" max="16384" width="12.1333333333333" style="2"/>
  </cols>
  <sheetData>
    <row r="1" s="1" customFormat="1" ht="26" customHeight="1" spans="1:9">
      <c r="A1" s="3" t="s">
        <v>507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</row>
    <row r="2" ht="40" customHeight="1" spans="1:9">
      <c r="A2" s="5" t="s">
        <v>508</v>
      </c>
      <c r="B2" s="5"/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="1" customFormat="1" ht="15" customHeight="1" spans="1:9">
      <c r="A3" s="6" t="s">
        <v>3</v>
      </c>
      <c r="B3" s="6"/>
      <c r="C3" s="6" t="s">
        <v>1</v>
      </c>
      <c r="D3" s="6" t="s">
        <v>1</v>
      </c>
      <c r="E3" s="6" t="s">
        <v>1</v>
      </c>
      <c r="F3" s="7" t="s">
        <v>1</v>
      </c>
      <c r="G3" s="7" t="s">
        <v>1</v>
      </c>
      <c r="H3" s="25"/>
      <c r="I3" s="26" t="s">
        <v>4</v>
      </c>
    </row>
    <row r="4" ht="30" customHeight="1" spans="1:9">
      <c r="A4" s="9" t="s">
        <v>5</v>
      </c>
      <c r="B4" s="9"/>
      <c r="C4" s="9" t="s">
        <v>1</v>
      </c>
      <c r="D4" s="9" t="s">
        <v>1</v>
      </c>
      <c r="E4" s="10" t="s">
        <v>6</v>
      </c>
      <c r="F4" s="10"/>
      <c r="G4" s="10" t="s">
        <v>1</v>
      </c>
      <c r="H4" s="10" t="s">
        <v>1</v>
      </c>
      <c r="I4" s="13" t="s">
        <v>7</v>
      </c>
    </row>
    <row r="5" ht="47" customHeight="1" spans="1:9">
      <c r="A5" s="12" t="s">
        <v>8</v>
      </c>
      <c r="B5" s="12" t="s">
        <v>9</v>
      </c>
      <c r="C5" s="12" t="s">
        <v>111</v>
      </c>
      <c r="D5" s="12" t="s">
        <v>11</v>
      </c>
      <c r="E5" s="13" t="s">
        <v>8</v>
      </c>
      <c r="F5" s="13" t="s">
        <v>9</v>
      </c>
      <c r="G5" s="13" t="s">
        <v>111</v>
      </c>
      <c r="H5" s="13" t="s">
        <v>11</v>
      </c>
      <c r="I5" s="13"/>
    </row>
    <row r="6" ht="30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 ht="41" customHeight="1" spans="1:9">
      <c r="A7" s="17" t="s">
        <v>509</v>
      </c>
      <c r="B7" s="18">
        <v>197400</v>
      </c>
      <c r="C7" s="18">
        <v>0</v>
      </c>
      <c r="D7" s="18">
        <f t="shared" ref="D7:D12" si="0">SUM(B7:C7)</f>
        <v>197400</v>
      </c>
      <c r="E7" s="19" t="s">
        <v>510</v>
      </c>
      <c r="F7" s="20">
        <v>204510</v>
      </c>
      <c r="G7" s="20">
        <f>6480+49929</f>
        <v>56409</v>
      </c>
      <c r="H7" s="20">
        <f t="shared" ref="H7:H13" si="1">SUM(F7:G7)</f>
        <v>260919</v>
      </c>
      <c r="I7" s="27" t="s">
        <v>1</v>
      </c>
    </row>
    <row r="8" ht="41" customHeight="1" spans="1:9">
      <c r="A8" s="28" t="s">
        <v>511</v>
      </c>
      <c r="B8" s="18">
        <v>0</v>
      </c>
      <c r="C8" s="18">
        <f>1191+82517+49929</f>
        <v>133637</v>
      </c>
      <c r="D8" s="18">
        <f t="shared" si="0"/>
        <v>133637</v>
      </c>
      <c r="E8" s="27" t="s">
        <v>512</v>
      </c>
      <c r="F8" s="20">
        <v>0</v>
      </c>
      <c r="G8" s="20">
        <v>83708</v>
      </c>
      <c r="H8" s="20">
        <f t="shared" si="1"/>
        <v>83708</v>
      </c>
      <c r="I8" s="27" t="s">
        <v>1</v>
      </c>
    </row>
    <row r="9" ht="41" customHeight="1" spans="1:9">
      <c r="A9" s="17" t="s">
        <v>25</v>
      </c>
      <c r="B9" s="18">
        <v>326</v>
      </c>
      <c r="C9" s="18">
        <v>6684</v>
      </c>
      <c r="D9" s="18">
        <f t="shared" si="0"/>
        <v>7010</v>
      </c>
      <c r="E9" s="19" t="s">
        <v>26</v>
      </c>
      <c r="F9" s="20" t="s">
        <v>1</v>
      </c>
      <c r="G9" s="20" t="s">
        <v>1</v>
      </c>
      <c r="H9" s="20">
        <f t="shared" si="1"/>
        <v>0</v>
      </c>
      <c r="I9" s="27" t="s">
        <v>1</v>
      </c>
    </row>
    <row r="10" ht="41" customHeight="1" spans="1:9">
      <c r="A10" s="17" t="s">
        <v>27</v>
      </c>
      <c r="B10" s="18" t="s">
        <v>1</v>
      </c>
      <c r="C10" s="18" t="s">
        <v>1</v>
      </c>
      <c r="D10" s="18">
        <f t="shared" si="0"/>
        <v>0</v>
      </c>
      <c r="E10" s="19" t="s">
        <v>513</v>
      </c>
      <c r="F10" s="20" t="s">
        <v>1</v>
      </c>
      <c r="G10" s="20" t="s">
        <v>1</v>
      </c>
      <c r="H10" s="20">
        <f t="shared" si="1"/>
        <v>0</v>
      </c>
      <c r="I10" s="27" t="s">
        <v>1</v>
      </c>
    </row>
    <row r="11" ht="41" customHeight="1" spans="1:9">
      <c r="A11" s="17" t="s">
        <v>29</v>
      </c>
      <c r="B11" s="18">
        <v>0</v>
      </c>
      <c r="C11" s="18">
        <v>0</v>
      </c>
      <c r="D11" s="18">
        <f t="shared" si="0"/>
        <v>0</v>
      </c>
      <c r="E11" s="19" t="s">
        <v>514</v>
      </c>
      <c r="F11" s="20">
        <v>20000</v>
      </c>
      <c r="G11" s="20">
        <v>0</v>
      </c>
      <c r="H11" s="20">
        <f t="shared" si="1"/>
        <v>20000</v>
      </c>
      <c r="I11" s="27" t="s">
        <v>1</v>
      </c>
    </row>
    <row r="12" ht="41" customHeight="1" spans="1:9">
      <c r="A12" s="17" t="s">
        <v>515</v>
      </c>
      <c r="B12" s="18">
        <v>26784</v>
      </c>
      <c r="C12" s="18">
        <v>0</v>
      </c>
      <c r="D12" s="18">
        <f t="shared" si="0"/>
        <v>26784</v>
      </c>
      <c r="E12" s="19" t="s">
        <v>516</v>
      </c>
      <c r="F12" s="20">
        <v>0</v>
      </c>
      <c r="G12" s="20"/>
      <c r="H12" s="20">
        <f t="shared" si="1"/>
        <v>0</v>
      </c>
      <c r="I12" s="27" t="s">
        <v>1</v>
      </c>
    </row>
    <row r="13" ht="41" customHeight="1" spans="1:9">
      <c r="A13" s="29" t="s">
        <v>1</v>
      </c>
      <c r="B13" s="30" t="s">
        <v>1</v>
      </c>
      <c r="C13" s="30" t="s">
        <v>1</v>
      </c>
      <c r="D13" s="18"/>
      <c r="E13" s="19" t="s">
        <v>517</v>
      </c>
      <c r="F13" s="20">
        <v>0</v>
      </c>
      <c r="G13" s="20">
        <v>204</v>
      </c>
      <c r="H13" s="20">
        <f t="shared" si="1"/>
        <v>204</v>
      </c>
      <c r="I13" s="27" t="s">
        <v>1</v>
      </c>
    </row>
    <row r="14" ht="30" customHeight="1" spans="1:9">
      <c r="A14" s="12" t="s">
        <v>37</v>
      </c>
      <c r="B14" s="22">
        <f>SUM(B7:B12)</f>
        <v>224510</v>
      </c>
      <c r="C14" s="22">
        <f>SUM(C7:C12)</f>
        <v>140321</v>
      </c>
      <c r="D14" s="22">
        <f>SUM(D7:D12)</f>
        <v>364831</v>
      </c>
      <c r="E14" s="13" t="s">
        <v>38</v>
      </c>
      <c r="F14" s="23">
        <f>SUM(F7:F13)</f>
        <v>224510</v>
      </c>
      <c r="G14" s="23">
        <f>SUM(G7:G13)</f>
        <v>140321</v>
      </c>
      <c r="H14" s="23">
        <f>SUM(H7:H13)</f>
        <v>364831</v>
      </c>
      <c r="I14" s="31" t="s">
        <v>1</v>
      </c>
    </row>
  </sheetData>
  <mergeCells count="5">
    <mergeCell ref="A2:I2"/>
    <mergeCell ref="A3:B3"/>
    <mergeCell ref="A4:D4"/>
    <mergeCell ref="E4:H4"/>
    <mergeCell ref="I4:I5"/>
  </mergeCells>
  <pageMargins left="0.865972222222222" right="0.700694444444445" top="0.751388888888889" bottom="0.751388888888889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L8" sqref="L8"/>
    </sheetView>
  </sheetViews>
  <sheetFormatPr defaultColWidth="12.1333333333333" defaultRowHeight="15.6" customHeight="1"/>
  <cols>
    <col min="1" max="1" width="22.75" style="2" customWidth="1"/>
    <col min="2" max="2" width="16.625" style="2" customWidth="1"/>
    <col min="3" max="3" width="14.75" style="2" customWidth="1"/>
    <col min="4" max="4" width="14.25" style="2" customWidth="1"/>
    <col min="5" max="5" width="20.7916666666667" style="2" customWidth="1"/>
    <col min="6" max="6" width="13.25" style="2" customWidth="1"/>
    <col min="7" max="7" width="14.75" style="2" customWidth="1"/>
    <col min="8" max="16384" width="12.1333333333333" style="2"/>
  </cols>
  <sheetData>
    <row r="1" s="1" customFormat="1" ht="33" customHeight="1" spans="1:9">
      <c r="A1" s="3" t="s">
        <v>518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</row>
    <row r="2" ht="39" customHeight="1" spans="1:9">
      <c r="A2" s="5" t="s">
        <v>519</v>
      </c>
      <c r="B2" s="5"/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="1" customFormat="1" ht="15" customHeight="1" spans="1:9">
      <c r="A3" s="6" t="s">
        <v>3</v>
      </c>
      <c r="B3" s="6"/>
      <c r="C3" s="6" t="s">
        <v>1</v>
      </c>
      <c r="D3" s="6" t="s">
        <v>1</v>
      </c>
      <c r="E3" s="6" t="s">
        <v>1</v>
      </c>
      <c r="F3" s="7" t="s">
        <v>1</v>
      </c>
      <c r="G3" s="7" t="s">
        <v>1</v>
      </c>
      <c r="H3" s="7" t="s">
        <v>1</v>
      </c>
      <c r="I3" s="8" t="s">
        <v>4</v>
      </c>
    </row>
    <row r="4" ht="30" customHeight="1" spans="1:9">
      <c r="A4" s="9" t="s">
        <v>5</v>
      </c>
      <c r="B4" s="9"/>
      <c r="C4" s="9" t="s">
        <v>1</v>
      </c>
      <c r="D4" s="9" t="s">
        <v>1</v>
      </c>
      <c r="E4" s="10" t="s">
        <v>6</v>
      </c>
      <c r="F4" s="10"/>
      <c r="G4" s="10" t="s">
        <v>1</v>
      </c>
      <c r="H4" s="10" t="s">
        <v>1</v>
      </c>
      <c r="I4" s="11" t="s">
        <v>7</v>
      </c>
    </row>
    <row r="5" ht="30" customHeight="1" spans="1:9">
      <c r="A5" s="12" t="s">
        <v>8</v>
      </c>
      <c r="B5" s="12" t="s">
        <v>9</v>
      </c>
      <c r="C5" s="12" t="s">
        <v>10</v>
      </c>
      <c r="D5" s="12" t="s">
        <v>11</v>
      </c>
      <c r="E5" s="13" t="s">
        <v>8</v>
      </c>
      <c r="F5" s="13" t="s">
        <v>9</v>
      </c>
      <c r="G5" s="13" t="s">
        <v>10</v>
      </c>
      <c r="H5" s="13" t="s">
        <v>11</v>
      </c>
      <c r="I5" s="11"/>
    </row>
    <row r="6" ht="57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6" t="s">
        <v>20</v>
      </c>
    </row>
    <row r="7" ht="57" customHeight="1" spans="1:9">
      <c r="A7" s="17" t="s">
        <v>509</v>
      </c>
      <c r="B7" s="18">
        <v>40000</v>
      </c>
      <c r="C7" s="18">
        <v>-10000</v>
      </c>
      <c r="D7" s="18">
        <f>SUM(B7:C7)</f>
        <v>30000</v>
      </c>
      <c r="E7" s="19" t="s">
        <v>520</v>
      </c>
      <c r="F7" s="20">
        <v>1304</v>
      </c>
      <c r="G7" s="20">
        <v>62</v>
      </c>
      <c r="H7" s="20">
        <f>SUM(F7:G7)</f>
        <v>1366</v>
      </c>
      <c r="I7" s="21" t="s">
        <v>1</v>
      </c>
    </row>
    <row r="8" ht="57" customHeight="1" spans="1:9">
      <c r="A8" s="17" t="s">
        <v>521</v>
      </c>
      <c r="B8" s="18">
        <v>0</v>
      </c>
      <c r="C8" s="18">
        <v>62</v>
      </c>
      <c r="D8" s="18">
        <f>SUM(B8:C8)</f>
        <v>62</v>
      </c>
      <c r="E8" s="19" t="s">
        <v>522</v>
      </c>
      <c r="F8" s="20" t="s">
        <v>1</v>
      </c>
      <c r="G8" s="20" t="s">
        <v>1</v>
      </c>
      <c r="H8" s="20">
        <f>SUM(F8:G8)</f>
        <v>0</v>
      </c>
      <c r="I8" s="21" t="s">
        <v>1</v>
      </c>
    </row>
    <row r="9" ht="57" customHeight="1" spans="1:9">
      <c r="A9" s="17" t="s">
        <v>523</v>
      </c>
      <c r="B9" s="18">
        <v>1304</v>
      </c>
      <c r="C9" s="18">
        <v>0</v>
      </c>
      <c r="D9" s="18">
        <f>SUM(B9:C9)</f>
        <v>1304</v>
      </c>
      <c r="E9" s="19" t="s">
        <v>524</v>
      </c>
      <c r="F9" s="20">
        <v>40000</v>
      </c>
      <c r="G9" s="20">
        <v>-10000</v>
      </c>
      <c r="H9" s="20">
        <f>SUM(F9:G9)</f>
        <v>30000</v>
      </c>
      <c r="I9" s="21" t="s">
        <v>1</v>
      </c>
    </row>
    <row r="10" ht="57" customHeight="1" spans="1:9">
      <c r="A10" s="17" t="s">
        <v>1</v>
      </c>
      <c r="B10" s="18" t="s">
        <v>1</v>
      </c>
      <c r="C10" s="18" t="s">
        <v>1</v>
      </c>
      <c r="D10" s="18" t="s">
        <v>1</v>
      </c>
      <c r="E10" s="19" t="s">
        <v>525</v>
      </c>
      <c r="F10" s="20" t="s">
        <v>1</v>
      </c>
      <c r="G10" s="20" t="s">
        <v>1</v>
      </c>
      <c r="H10" s="20">
        <f>SUM(F10:G10)</f>
        <v>0</v>
      </c>
      <c r="I10" s="21" t="s">
        <v>1</v>
      </c>
    </row>
    <row r="11" ht="30" customHeight="1" spans="1:9">
      <c r="A11" s="12" t="s">
        <v>37</v>
      </c>
      <c r="B11" s="22">
        <f>SUM(B7:B9)</f>
        <v>41304</v>
      </c>
      <c r="C11" s="22">
        <f>SUM(C7:C9)</f>
        <v>-9938</v>
      </c>
      <c r="D11" s="22">
        <f>SUM(D7:D9)</f>
        <v>31366</v>
      </c>
      <c r="E11" s="13" t="s">
        <v>38</v>
      </c>
      <c r="F11" s="23">
        <f>SUM(F7:F9)</f>
        <v>41304</v>
      </c>
      <c r="G11" s="23">
        <f>SUM(G7:G9)</f>
        <v>-9938</v>
      </c>
      <c r="H11" s="23">
        <f>SUM(H7:H9)</f>
        <v>31366</v>
      </c>
      <c r="I11" s="24" t="s">
        <v>1</v>
      </c>
    </row>
  </sheetData>
  <mergeCells count="5">
    <mergeCell ref="A2:I2"/>
    <mergeCell ref="A3:B3"/>
    <mergeCell ref="A4:D4"/>
    <mergeCell ref="E4:H4"/>
    <mergeCell ref="I4:I5"/>
  </mergeCells>
  <pageMargins left="1.18055555555556" right="0.751388888888889" top="1" bottom="1" header="0.5" footer="0.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附表1一般公共预算收支平衡调整表</vt:lpstr>
      <vt:lpstr>附表2一般公共预算收入调整表</vt:lpstr>
      <vt:lpstr>附表3一般公共预算支出调整表</vt:lpstr>
      <vt:lpstr>附表4政府性基金收支平衡调整表</vt:lpstr>
      <vt:lpstr>附表5国有资本经营预算平衡调整表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ysk</dc:creator>
  <cp:lastModifiedBy>末日</cp:lastModifiedBy>
  <dcterms:created xsi:type="dcterms:W3CDTF">2020-10-08T07:24:00Z</dcterms:created>
  <dcterms:modified xsi:type="dcterms:W3CDTF">2026-10-21T02:05:21Z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53489963612C453A91BAA8C6CD4C4020_13</vt:lpwstr>
  </property>
  <property fmtid="{D5CDD505-2E9C-101B-9397-08002B2CF9AE}" pid="4" name="CalculationRule">
    <vt:i4>0</vt:i4>
  </property>
</Properties>
</file>